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orp.ccsontario.org\users\Redirect\vbeharry\Desktop\"/>
    </mc:Choice>
  </mc:AlternateContent>
  <xr:revisionPtr revIDLastSave="0" documentId="8_{708FA214-CFD9-49BE-AAF2-1C6C743A4D7A}" xr6:coauthVersionLast="47" xr6:coauthVersionMax="47" xr10:uidLastSave="{00000000-0000-0000-0000-000000000000}"/>
  <bookViews>
    <workbookView xWindow="-108" yWindow="-108" windowWidth="23256" windowHeight="12576" firstSheet="4" activeTab="4" xr2:uid="{00000000-000D-0000-FFFF-FFFF00000000}"/>
  </bookViews>
  <sheets>
    <sheet name="Dec 21-Mar 22 " sheetId="13" state="hidden" r:id="rId1"/>
    <sheet name="UTSC Sub-agreement 2021-22" sheetId="17" state="hidden" r:id="rId2"/>
    <sheet name="2022-2023 " sheetId="15" state="hidden" r:id="rId3"/>
    <sheet name="UTSC Sub-agreement 2022-23" sheetId="18" state="hidden" r:id="rId4"/>
    <sheet name="Budget template" sheetId="14" r:id="rId5"/>
    <sheet name="Sheet1" sheetId="16" state="hidden" r:id="rId6"/>
    <sheet name="weeks" sheetId="12" state="hidden" r:id="rId7"/>
  </sheets>
  <definedNames>
    <definedName name="spo" localSheetId="2">#REF!</definedName>
    <definedName name="spo" localSheetId="4">#REF!</definedName>
    <definedName name="spo" localSheetId="0">#REF!</definedName>
    <definedName name="s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4" l="1"/>
  <c r="H19" i="14"/>
  <c r="H20" i="14"/>
  <c r="I60" i="18" l="1"/>
  <c r="I54" i="18"/>
  <c r="H49" i="18"/>
  <c r="H22" i="18"/>
  <c r="H21" i="18"/>
  <c r="R12" i="18"/>
  <c r="R11" i="18"/>
  <c r="R10" i="18"/>
  <c r="T9" i="18"/>
  <c r="T10" i="18" s="1"/>
  <c r="T11" i="18" s="1"/>
  <c r="T12" i="18" s="1"/>
  <c r="S9" i="18"/>
  <c r="S10" i="18" s="1"/>
  <c r="S11" i="18" s="1"/>
  <c r="S12" i="18" s="1"/>
  <c r="R9" i="18"/>
  <c r="I61" i="17"/>
  <c r="I55" i="17"/>
  <c r="H49" i="17"/>
  <c r="R19" i="17"/>
  <c r="R18" i="17"/>
  <c r="R16" i="17"/>
  <c r="H16" i="17"/>
  <c r="H17" i="17" s="1"/>
  <c r="H23" i="18" l="1"/>
  <c r="I25" i="18" s="1"/>
  <c r="I34" i="18" s="1"/>
  <c r="I61" i="18" s="1"/>
  <c r="I19" i="17"/>
  <c r="I34" i="17" s="1"/>
  <c r="I62" i="17" s="1"/>
  <c r="H128" i="13" l="1"/>
  <c r="H61" i="14" l="1"/>
  <c r="J96" i="15"/>
  <c r="H96" i="15" s="1"/>
  <c r="K129" i="13"/>
  <c r="J99" i="13"/>
  <c r="H99" i="13" s="1"/>
  <c r="K125" i="15" l="1"/>
  <c r="K99" i="15"/>
  <c r="K126" i="15" l="1"/>
  <c r="K102" i="13"/>
  <c r="K130" i="13" s="1"/>
  <c r="H76" i="15" l="1"/>
  <c r="H91" i="15" l="1"/>
  <c r="H94" i="13"/>
  <c r="H17" i="14" l="1"/>
  <c r="H21" i="14" s="1"/>
  <c r="D53" i="15"/>
  <c r="I22" i="14" l="1"/>
  <c r="H75" i="15"/>
  <c r="S22" i="13" l="1"/>
  <c r="S23" i="13"/>
  <c r="S24" i="13"/>
  <c r="S25" i="13"/>
  <c r="S26" i="13"/>
  <c r="S27" i="13"/>
  <c r="S28" i="13"/>
  <c r="S29" i="13"/>
  <c r="S30" i="13"/>
  <c r="S31" i="13"/>
  <c r="S32" i="13"/>
  <c r="S33" i="13"/>
  <c r="S34" i="13"/>
  <c r="S35" i="13"/>
  <c r="S36" i="13"/>
  <c r="S37" i="13"/>
  <c r="S38" i="13"/>
  <c r="S21" i="13"/>
  <c r="H66" i="15" l="1"/>
  <c r="H123" i="15"/>
  <c r="U21" i="15" l="1"/>
  <c r="H89" i="15"/>
  <c r="H92" i="13"/>
  <c r="C92" i="13" s="1"/>
  <c r="G41" i="16" l="1"/>
  <c r="G36" i="16"/>
  <c r="G37" i="16"/>
  <c r="G38" i="16"/>
  <c r="G35" i="16"/>
  <c r="E41" i="16"/>
  <c r="C36" i="16"/>
  <c r="C37" i="16"/>
  <c r="C38" i="16"/>
  <c r="C35" i="16"/>
  <c r="E36" i="16"/>
  <c r="E37" i="16"/>
  <c r="E38" i="16"/>
  <c r="E35" i="16"/>
  <c r="C41" i="16"/>
  <c r="G32" i="16"/>
  <c r="G27" i="16"/>
  <c r="G28" i="16"/>
  <c r="G29" i="16"/>
  <c r="G26" i="16"/>
  <c r="E32" i="16"/>
  <c r="E27" i="16"/>
  <c r="E28" i="16"/>
  <c r="E29" i="16"/>
  <c r="E26" i="16"/>
  <c r="C32" i="16"/>
  <c r="C27" i="16"/>
  <c r="C28" i="16"/>
  <c r="C29" i="16"/>
  <c r="C26" i="16"/>
  <c r="D120" i="14"/>
  <c r="G39" i="16" s="1"/>
  <c r="C120" i="14"/>
  <c r="G30" i="16" s="1"/>
  <c r="H38" i="16" l="1"/>
  <c r="G40" i="16"/>
  <c r="H41" i="16"/>
  <c r="F37" i="16"/>
  <c r="F38" i="16"/>
  <c r="F36" i="16"/>
  <c r="H35" i="16"/>
  <c r="H37" i="16"/>
  <c r="H36" i="16"/>
  <c r="F35" i="16"/>
  <c r="G31" i="16"/>
  <c r="F41" i="16"/>
  <c r="H136" i="15" l="1"/>
  <c r="E30" i="16" s="1"/>
  <c r="E31" i="16" s="1"/>
  <c r="I136" i="15"/>
  <c r="E39" i="16" s="1"/>
  <c r="E40" i="16" l="1"/>
  <c r="H39" i="16"/>
  <c r="H40" i="16" s="1"/>
  <c r="I182" i="13" l="1"/>
  <c r="C39" i="16" s="1"/>
  <c r="H182" i="13"/>
  <c r="C30" i="16" s="1"/>
  <c r="C31" i="16" s="1"/>
  <c r="C40" i="16" l="1"/>
  <c r="F39" i="16"/>
  <c r="F40" i="16" s="1"/>
  <c r="E7" i="13"/>
  <c r="U21" i="13"/>
  <c r="D71" i="15" l="1"/>
  <c r="H44" i="15"/>
  <c r="H44" i="13"/>
  <c r="C54" i="15" l="1"/>
  <c r="H54" i="15" s="1"/>
  <c r="H54" i="13" l="1"/>
  <c r="D53" i="13"/>
  <c r="C89" i="15" l="1"/>
  <c r="H88" i="14" l="1"/>
  <c r="H53" i="15" l="1"/>
  <c r="H55" i="15" l="1"/>
  <c r="H71" i="15" l="1"/>
  <c r="H78" i="13"/>
  <c r="G14" i="16" l="1"/>
  <c r="G16" i="16"/>
  <c r="G19" i="16"/>
  <c r="E14" i="16"/>
  <c r="E16" i="16"/>
  <c r="E19" i="16"/>
  <c r="C14" i="16"/>
  <c r="C16" i="16"/>
  <c r="C19" i="16"/>
  <c r="B20" i="16"/>
  <c r="B21" i="16"/>
  <c r="B6" i="16"/>
  <c r="B7" i="16"/>
  <c r="B8" i="16"/>
  <c r="B9" i="16"/>
  <c r="B10" i="16"/>
  <c r="B11" i="16"/>
  <c r="B12" i="16"/>
  <c r="B13" i="16"/>
  <c r="B14" i="16"/>
  <c r="B15" i="16"/>
  <c r="B16" i="16"/>
  <c r="B17" i="16"/>
  <c r="B19" i="16"/>
  <c r="B5" i="16"/>
  <c r="S21" i="15"/>
  <c r="S22" i="15"/>
  <c r="S23" i="15"/>
  <c r="S24" i="15"/>
  <c r="S25" i="15"/>
  <c r="S26" i="15"/>
  <c r="S27" i="15"/>
  <c r="S28" i="15"/>
  <c r="S29" i="15"/>
  <c r="S30" i="15"/>
  <c r="S31" i="15"/>
  <c r="S32" i="15"/>
  <c r="S33" i="15"/>
  <c r="S34" i="15"/>
  <c r="S35" i="15"/>
  <c r="S36" i="15"/>
  <c r="S37" i="15"/>
  <c r="S38" i="15"/>
  <c r="L17" i="15" l="1"/>
  <c r="H43" i="15"/>
  <c r="H47" i="15" s="1"/>
  <c r="U22" i="15"/>
  <c r="U23" i="15" s="1"/>
  <c r="U24" i="15" s="1"/>
  <c r="U25" i="15" s="1"/>
  <c r="U26" i="15" s="1"/>
  <c r="U27" i="15" s="1"/>
  <c r="U28" i="15" s="1"/>
  <c r="U29" i="15" s="1"/>
  <c r="U30" i="15" s="1"/>
  <c r="U31" i="15" s="1"/>
  <c r="U32" i="15" s="1"/>
  <c r="U33" i="15" s="1"/>
  <c r="U34" i="15" s="1"/>
  <c r="U35" i="15" s="1"/>
  <c r="U36" i="15" s="1"/>
  <c r="U37" i="15" s="1"/>
  <c r="U38" i="15" s="1"/>
  <c r="T16" i="15"/>
  <c r="T15" i="15"/>
  <c r="T14" i="15"/>
  <c r="T13" i="15"/>
  <c r="T12" i="15"/>
  <c r="T11" i="15"/>
  <c r="T10" i="15"/>
  <c r="T9" i="15"/>
  <c r="T8" i="15"/>
  <c r="L8" i="15" s="1"/>
  <c r="T7" i="15"/>
  <c r="H7" i="15"/>
  <c r="T6" i="15"/>
  <c r="T21" i="15" s="1"/>
  <c r="H6" i="15"/>
  <c r="S17" i="15" l="1"/>
  <c r="L7" i="15"/>
  <c r="T22" i="15"/>
  <c r="H22" i="15" s="1"/>
  <c r="H21" i="15"/>
  <c r="L21" i="15"/>
  <c r="L9" i="15"/>
  <c r="H9" i="15"/>
  <c r="I48" i="15"/>
  <c r="L6" i="15"/>
  <c r="H8" i="15"/>
  <c r="L10" i="15" l="1"/>
  <c r="H10" i="15"/>
  <c r="L22" i="15"/>
  <c r="T23" i="15"/>
  <c r="L11" i="15" l="1"/>
  <c r="H11" i="15"/>
  <c r="L23" i="15"/>
  <c r="T24" i="15"/>
  <c r="H23" i="15"/>
  <c r="H12" i="15" l="1"/>
  <c r="L12" i="15"/>
  <c r="T25" i="15"/>
  <c r="H24" i="15"/>
  <c r="L24" i="15"/>
  <c r="T26" i="15" l="1"/>
  <c r="H25" i="15"/>
  <c r="L25" i="15"/>
  <c r="H13" i="15"/>
  <c r="L13" i="15"/>
  <c r="L26" i="15" l="1"/>
  <c r="T27" i="15"/>
  <c r="H26" i="15"/>
  <c r="L14" i="15"/>
  <c r="H14" i="15"/>
  <c r="L27" i="15" l="1"/>
  <c r="T28" i="15"/>
  <c r="H27" i="15"/>
  <c r="H15" i="15" l="1"/>
  <c r="L15" i="15"/>
  <c r="T29" i="15"/>
  <c r="H28" i="15"/>
  <c r="L28" i="15"/>
  <c r="T30" i="15" l="1"/>
  <c r="H29" i="15"/>
  <c r="L29" i="15"/>
  <c r="H16" i="15"/>
  <c r="S16" i="15"/>
  <c r="L16" i="15" s="1"/>
  <c r="H17" i="15" l="1"/>
  <c r="I18" i="15" s="1"/>
  <c r="L30" i="15"/>
  <c r="T31" i="15"/>
  <c r="H30" i="15"/>
  <c r="L31" i="15" l="1"/>
  <c r="T32" i="15"/>
  <c r="H31" i="15"/>
  <c r="T33" i="15" l="1"/>
  <c r="H32" i="15"/>
  <c r="L32" i="15"/>
  <c r="T34" i="15" l="1"/>
  <c r="H33" i="15"/>
  <c r="L33" i="15"/>
  <c r="L34" i="15" l="1"/>
  <c r="T35" i="15"/>
  <c r="H34" i="15"/>
  <c r="L35" i="15" l="1"/>
  <c r="T36" i="15"/>
  <c r="H35" i="15"/>
  <c r="T37" i="15" l="1"/>
  <c r="H36" i="15"/>
  <c r="L36" i="15"/>
  <c r="T38" i="15" l="1"/>
  <c r="H38" i="15" s="1"/>
  <c r="H37" i="15"/>
  <c r="L37" i="15"/>
  <c r="I39" i="15" l="1"/>
  <c r="I49" i="15" s="1"/>
  <c r="C143" i="15" l="1"/>
  <c r="E17" i="16" s="1"/>
  <c r="H53" i="13" l="1"/>
  <c r="H56" i="13"/>
  <c r="H55" i="13"/>
  <c r="H57" i="13" l="1"/>
  <c r="I58" i="13" s="1"/>
  <c r="H6" i="13"/>
  <c r="U22" i="13" l="1"/>
  <c r="U23" i="13" s="1"/>
  <c r="U24" i="13" s="1"/>
  <c r="U25" i="13" s="1"/>
  <c r="U26" i="13" s="1"/>
  <c r="U27" i="13" s="1"/>
  <c r="U28" i="13" s="1"/>
  <c r="U29" i="13" s="1"/>
  <c r="U30" i="13" s="1"/>
  <c r="U31" i="13" s="1"/>
  <c r="U32" i="13" s="1"/>
  <c r="U33" i="13" s="1"/>
  <c r="U34" i="13" s="1"/>
  <c r="U35" i="13" s="1"/>
  <c r="U36" i="13" s="1"/>
  <c r="U37" i="13" s="1"/>
  <c r="U38" i="13" s="1"/>
  <c r="S17" i="13"/>
  <c r="L17" i="13"/>
  <c r="T16" i="13"/>
  <c r="T15" i="13"/>
  <c r="T14" i="13"/>
  <c r="T13" i="13"/>
  <c r="T12" i="13"/>
  <c r="T11" i="13"/>
  <c r="T10" i="13"/>
  <c r="T9" i="13"/>
  <c r="T8" i="13"/>
  <c r="E8" i="13"/>
  <c r="S8" i="13" s="1"/>
  <c r="T7" i="13"/>
  <c r="S7" i="13"/>
  <c r="H7" i="13"/>
  <c r="T6" i="13"/>
  <c r="T21" i="13" s="1"/>
  <c r="S6" i="13"/>
  <c r="L21" i="13" l="1"/>
  <c r="L7" i="13"/>
  <c r="L6" i="13"/>
  <c r="T22" i="13"/>
  <c r="L22" i="13" s="1"/>
  <c r="L8" i="13"/>
  <c r="H8" i="13"/>
  <c r="E9" i="13"/>
  <c r="H21" i="13"/>
  <c r="H22" i="13" l="1"/>
  <c r="T23" i="13"/>
  <c r="H23" i="13" s="1"/>
  <c r="S9" i="13"/>
  <c r="L9" i="13" s="1"/>
  <c r="E10" i="13"/>
  <c r="H9" i="13"/>
  <c r="T24" i="13" l="1"/>
  <c r="L24" i="13" s="1"/>
  <c r="L23" i="13"/>
  <c r="E11" i="13"/>
  <c r="H10" i="13"/>
  <c r="S10" i="13"/>
  <c r="L10" i="13" s="1"/>
  <c r="T25" i="13" l="1"/>
  <c r="L25" i="13" s="1"/>
  <c r="H24" i="13"/>
  <c r="S11" i="13"/>
  <c r="L11" i="13" s="1"/>
  <c r="H11" i="13"/>
  <c r="E12" i="13"/>
  <c r="T26" i="13" l="1"/>
  <c r="L26" i="13" s="1"/>
  <c r="H25" i="13"/>
  <c r="S12" i="13"/>
  <c r="L12" i="13" s="1"/>
  <c r="E13" i="13"/>
  <c r="H12" i="13"/>
  <c r="H26" i="13" l="1"/>
  <c r="T27" i="13"/>
  <c r="L27" i="13" s="1"/>
  <c r="S13" i="13"/>
  <c r="L13" i="13" s="1"/>
  <c r="H13" i="13"/>
  <c r="E14" i="13"/>
  <c r="E15" i="13" s="1"/>
  <c r="H27" i="13" l="1"/>
  <c r="T28" i="13"/>
  <c r="L28" i="13" s="1"/>
  <c r="H14" i="13"/>
  <c r="S14" i="13"/>
  <c r="L14" i="13" s="1"/>
  <c r="H28" i="13" l="1"/>
  <c r="T29" i="13"/>
  <c r="L29" i="13" s="1"/>
  <c r="T30" i="13"/>
  <c r="L30" i="13" s="1"/>
  <c r="H29" i="13" l="1"/>
  <c r="S15" i="13"/>
  <c r="L15" i="13" s="1"/>
  <c r="E16" i="13"/>
  <c r="H15" i="13"/>
  <c r="T31" i="13"/>
  <c r="L31" i="13" s="1"/>
  <c r="H30" i="13"/>
  <c r="S16" i="13" l="1"/>
  <c r="L16" i="13" s="1"/>
  <c r="H16" i="13"/>
  <c r="T32" i="13"/>
  <c r="L32" i="13" s="1"/>
  <c r="H31" i="13"/>
  <c r="T33" i="13" l="1"/>
  <c r="L33" i="13" s="1"/>
  <c r="H32" i="13"/>
  <c r="H17" i="13"/>
  <c r="I18" i="13" s="1"/>
  <c r="T34" i="13" l="1"/>
  <c r="L34" i="13" s="1"/>
  <c r="H33" i="13"/>
  <c r="T35" i="13" l="1"/>
  <c r="L35" i="13" s="1"/>
  <c r="H34" i="13"/>
  <c r="T36" i="13" l="1"/>
  <c r="L36" i="13" s="1"/>
  <c r="H35" i="13"/>
  <c r="T37" i="13" l="1"/>
  <c r="L37" i="13" s="1"/>
  <c r="H36" i="13"/>
  <c r="T38" i="13" l="1"/>
  <c r="H38" i="13" s="1"/>
  <c r="H37" i="13"/>
  <c r="I39" i="13" l="1"/>
  <c r="S80" i="13" l="1"/>
  <c r="S79" i="13"/>
  <c r="S78" i="13"/>
  <c r="C10" i="12" l="1"/>
  <c r="C11" i="12" s="1"/>
  <c r="H42" i="13" l="1"/>
  <c r="H43" i="13" l="1"/>
  <c r="H47" i="13" s="1"/>
  <c r="I48" i="13" s="1"/>
  <c r="I49" i="13" s="1"/>
  <c r="C197" i="13" l="1"/>
  <c r="C17" i="16" s="1"/>
  <c r="H56" i="15" l="1"/>
  <c r="H57" i="15" l="1"/>
  <c r="I58" i="15" s="1"/>
  <c r="H72" i="13"/>
  <c r="H35" i="14"/>
  <c r="H77" i="15" l="1"/>
  <c r="H70" i="15"/>
  <c r="I78" i="15" l="1"/>
  <c r="H77" i="13"/>
  <c r="H41" i="14" l="1"/>
  <c r="H124" i="15" l="1"/>
  <c r="H79" i="13" l="1"/>
  <c r="I80" i="13" l="1"/>
  <c r="I119" i="15"/>
  <c r="H114" i="15"/>
  <c r="H92" i="15"/>
  <c r="H85" i="15"/>
  <c r="I86" i="15" s="1"/>
  <c r="H81" i="15"/>
  <c r="H65" i="15"/>
  <c r="H61" i="15"/>
  <c r="I62" i="15" s="1"/>
  <c r="C132" i="15" s="1"/>
  <c r="E6" i="16" s="1"/>
  <c r="I85" i="14"/>
  <c r="H79" i="14"/>
  <c r="H49" i="14"/>
  <c r="H45" i="14"/>
  <c r="H34" i="14"/>
  <c r="H29" i="14"/>
  <c r="H25" i="14"/>
  <c r="I26" i="14" l="1"/>
  <c r="C97" i="14" s="1"/>
  <c r="G6" i="16" s="1"/>
  <c r="I50" i="14"/>
  <c r="I59" i="14"/>
  <c r="C102" i="14" s="1"/>
  <c r="G11" i="16" s="1"/>
  <c r="H89" i="14"/>
  <c r="C135" i="15"/>
  <c r="E9" i="16" s="1"/>
  <c r="C131" i="15"/>
  <c r="E5" i="16" s="1"/>
  <c r="I72" i="15"/>
  <c r="C134" i="15" s="1"/>
  <c r="E8" i="16" s="1"/>
  <c r="I46" i="14"/>
  <c r="C101" i="14" s="1"/>
  <c r="G10" i="16" s="1"/>
  <c r="I37" i="14"/>
  <c r="C99" i="14" s="1"/>
  <c r="G8" i="16" s="1"/>
  <c r="I82" i="15"/>
  <c r="C136" i="15" s="1"/>
  <c r="E10" i="16" s="1"/>
  <c r="I67" i="15"/>
  <c r="C133" i="15" s="1"/>
  <c r="E7" i="16" s="1"/>
  <c r="I125" i="15"/>
  <c r="C141" i="15" s="1"/>
  <c r="E15" i="16" s="1"/>
  <c r="I42" i="14"/>
  <c r="C100" i="14" s="1"/>
  <c r="G9" i="16" s="1"/>
  <c r="I31" i="14"/>
  <c r="C98" i="14" s="1"/>
  <c r="G7" i="16" s="1"/>
  <c r="I123" i="13"/>
  <c r="H117" i="13"/>
  <c r="H95" i="13"/>
  <c r="I97" i="13" s="1"/>
  <c r="C191" i="13" s="1"/>
  <c r="C11" i="16" s="1"/>
  <c r="H88" i="13"/>
  <c r="H83" i="13"/>
  <c r="H71" i="13"/>
  <c r="I73" i="13" s="1"/>
  <c r="H66" i="13"/>
  <c r="H65" i="13"/>
  <c r="H61" i="13"/>
  <c r="I62" i="13" s="1"/>
  <c r="C186" i="13" s="1"/>
  <c r="C6" i="16" s="1"/>
  <c r="C188" i="13" l="1"/>
  <c r="C8" i="16" s="1"/>
  <c r="C189" i="13"/>
  <c r="C9" i="16" s="1"/>
  <c r="I89" i="13"/>
  <c r="I90" i="14"/>
  <c r="C106" i="14" s="1"/>
  <c r="G15" i="16" s="1"/>
  <c r="I67" i="13"/>
  <c r="C187" i="13" s="1"/>
  <c r="C7" i="16" s="1"/>
  <c r="I84" i="13"/>
  <c r="C190" i="13" s="1"/>
  <c r="C10" i="16" s="1"/>
  <c r="I62" i="14" l="1"/>
  <c r="C96" i="14"/>
  <c r="G5" i="16" s="1"/>
  <c r="I100" i="13"/>
  <c r="C192" i="13" s="1"/>
  <c r="C12" i="16" s="1"/>
  <c r="I129" i="13"/>
  <c r="N162" i="13"/>
  <c r="M150" i="13"/>
  <c r="C103" i="14" l="1"/>
  <c r="G12" i="16" s="1"/>
  <c r="I64" i="14"/>
  <c r="I13" i="14" s="1"/>
  <c r="C195" i="13"/>
  <c r="C15" i="16" s="1"/>
  <c r="C185" i="13"/>
  <c r="I102" i="13"/>
  <c r="I130" i="13" s="1"/>
  <c r="I132" i="13" s="1"/>
  <c r="C22" i="16" s="1"/>
  <c r="N158" i="13"/>
  <c r="C108" i="14" l="1"/>
  <c r="G17" i="16" s="1"/>
  <c r="C104" i="14"/>
  <c r="G13" i="16" s="1"/>
  <c r="C109" i="14"/>
  <c r="G18" i="16" s="1"/>
  <c r="C193" i="13"/>
  <c r="C200" i="13" s="1"/>
  <c r="C5" i="16"/>
  <c r="I174" i="13"/>
  <c r="C49" i="13"/>
  <c r="C198" i="13" s="1"/>
  <c r="C18" i="16" s="1"/>
  <c r="N164" i="13"/>
  <c r="N167" i="13" s="1"/>
  <c r="C111" i="14" l="1"/>
  <c r="G20" i="16" s="1"/>
  <c r="H20" i="16" s="1"/>
  <c r="I91" i="14"/>
  <c r="H17" i="16"/>
  <c r="H8" i="16"/>
  <c r="H13" i="16"/>
  <c r="H6" i="16"/>
  <c r="H10" i="16"/>
  <c r="H11" i="16"/>
  <c r="H5" i="16"/>
  <c r="H9" i="16"/>
  <c r="H15" i="16"/>
  <c r="H12" i="16"/>
  <c r="H7" i="16"/>
  <c r="C13" i="16"/>
  <c r="D5" i="16" s="1"/>
  <c r="C178" i="13"/>
  <c r="C20" i="16"/>
  <c r="C21" i="16" s="1"/>
  <c r="C201" i="13"/>
  <c r="E3" i="12"/>
  <c r="E2" i="12"/>
  <c r="C180" i="13" l="1"/>
  <c r="G22" i="16"/>
  <c r="C112" i="14"/>
  <c r="G21" i="16"/>
  <c r="E4" i="12"/>
  <c r="D20" i="16"/>
  <c r="D13" i="16"/>
  <c r="D17" i="16"/>
  <c r="D6" i="16"/>
  <c r="D11" i="16"/>
  <c r="D8" i="16"/>
  <c r="D9" i="16"/>
  <c r="D7" i="16"/>
  <c r="D10" i="16"/>
  <c r="D12" i="16"/>
  <c r="D15" i="16"/>
  <c r="B45" i="12"/>
  <c r="B46" i="12" s="1"/>
  <c r="B27" i="12"/>
  <c r="B28" i="12" s="1"/>
  <c r="B10" i="12"/>
  <c r="B11" i="12" s="1"/>
  <c r="I94" i="15"/>
  <c r="I97" i="15"/>
  <c r="C138" i="15" s="1"/>
  <c r="E12" i="16" s="1"/>
  <c r="I99" i="15" l="1"/>
  <c r="C137" i="15"/>
  <c r="C139" i="15" l="1"/>
  <c r="E11" i="16"/>
  <c r="C49" i="15"/>
  <c r="C144" i="15" s="1"/>
  <c r="E18" i="16" s="1"/>
  <c r="I126" i="15"/>
  <c r="I128" i="15" s="1"/>
  <c r="E22" i="16" s="1"/>
  <c r="C179" i="13" l="1"/>
  <c r="C181" i="13" s="1"/>
  <c r="E13" i="16"/>
  <c r="C146" i="15"/>
  <c r="F15" i="16" l="1"/>
  <c r="F10" i="16"/>
  <c r="F6" i="16"/>
  <c r="F9" i="16"/>
  <c r="F12" i="16"/>
  <c r="F17" i="16"/>
  <c r="F11" i="16"/>
  <c r="F7" i="16"/>
  <c r="F13" i="16"/>
  <c r="F8" i="16"/>
  <c r="F5" i="16"/>
  <c r="E20" i="16"/>
  <c r="C147" i="15"/>
  <c r="F20" i="16" l="1"/>
  <c r="E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author>
  </authors>
  <commentList>
    <comment ref="C18" authorId="0" shapeId="0" xr:uid="{00000000-0006-0000-0700-000001000000}">
      <text>
        <r>
          <rPr>
            <b/>
            <sz val="9"/>
            <color indexed="81"/>
            <rFont val="Tahoma"/>
            <family val="2"/>
          </rPr>
          <t>Windows:</t>
        </r>
        <r>
          <rPr>
            <sz val="9"/>
            <color indexed="81"/>
            <rFont val="Tahoma"/>
            <family val="2"/>
          </rPr>
          <t xml:space="preserve">
Lower because unproportionally higher cost in professional fee in this year comparing other years</t>
        </r>
      </text>
    </comment>
  </commentList>
</comments>
</file>

<file path=xl/sharedStrings.xml><?xml version="1.0" encoding="utf-8"?>
<sst xmlns="http://schemas.openxmlformats.org/spreadsheetml/2006/main" count="680" uniqueCount="234">
  <si>
    <t>COST ITEMS</t>
  </si>
  <si>
    <t>COST CATEGORY</t>
  </si>
  <si>
    <t>TOTAL COST</t>
  </si>
  <si>
    <t>TOTAL</t>
  </si>
  <si>
    <t>TOTAL PROGRAM DELIVERY COSTS</t>
  </si>
  <si>
    <t>CHILDMINCING</t>
  </si>
  <si>
    <t>TOTAL CHILDMINDING COSTS</t>
  </si>
  <si>
    <t>TOTAL TRANSPORTATION COSTS</t>
  </si>
  <si>
    <t>PLEASE PROVIDE BREAKDOWN OF COSTS SHOWING HOURLY, OR MONTHLY RATES AND NUMBER OF HOURS OR MONTHS THAT CIC IS CONTRIBUTING</t>
  </si>
  <si>
    <t>Comments</t>
  </si>
  <si>
    <t>Program Delivery</t>
  </si>
  <si>
    <t>Transportation</t>
  </si>
  <si>
    <t>Capital Cost</t>
  </si>
  <si>
    <t>TOTAL Capital Cost</t>
  </si>
  <si>
    <t>Salary &amp; Benefit</t>
  </si>
  <si>
    <t xml:space="preserve">Benefit </t>
  </si>
  <si>
    <t>TOTAL Salary &amp; Benefit</t>
  </si>
  <si>
    <t>HST Calculation</t>
  </si>
  <si>
    <t>Travel, accomodation &amp; related cost</t>
  </si>
  <si>
    <t>Staff Travel</t>
  </si>
  <si>
    <t xml:space="preserve">Total Travel </t>
  </si>
  <si>
    <t>Delivery assistance tools &amp; materials</t>
  </si>
  <si>
    <t>Materials &amp; supplies</t>
  </si>
  <si>
    <t>Photocopying &amp; printing</t>
  </si>
  <si>
    <t xml:space="preserve">Total Delivery assistance tools &amp; materials </t>
  </si>
  <si>
    <t>Professional &amp; Consultant Fee</t>
  </si>
  <si>
    <t>Staff PD</t>
  </si>
  <si>
    <t>Total Professional &amp; Consultant Fee</t>
  </si>
  <si>
    <t>Publicity</t>
  </si>
  <si>
    <t xml:space="preserve">Total Publicity </t>
  </si>
  <si>
    <t>Overhead Cost</t>
  </si>
  <si>
    <t>Telecommunication</t>
  </si>
  <si>
    <t>Photocopier lease</t>
  </si>
  <si>
    <t>IT Support</t>
  </si>
  <si>
    <t>Total Overhead Cost</t>
  </si>
  <si>
    <t>Total HST</t>
  </si>
  <si>
    <t>Subtotal</t>
  </si>
  <si>
    <t xml:space="preserve">Subtotal </t>
  </si>
  <si>
    <t>Conference &amp; Workshops</t>
  </si>
  <si>
    <t>Total Conference &amp; workshops</t>
  </si>
  <si>
    <t>Training &amp; PD</t>
  </si>
  <si>
    <t xml:space="preserve">Total Training &amp; PD </t>
  </si>
  <si>
    <t xml:space="preserve">Promotion </t>
  </si>
  <si>
    <t xml:space="preserve">SDI Application Budget template </t>
  </si>
  <si>
    <t xml:space="preserve">Project </t>
  </si>
  <si>
    <t>2021-2022</t>
  </si>
  <si>
    <t>Days</t>
  </si>
  <si>
    <t>wk</t>
  </si>
  <si>
    <t>2022-2023</t>
  </si>
  <si>
    <t>wks</t>
  </si>
  <si>
    <t>2023-2024</t>
  </si>
  <si>
    <t>Clients</t>
  </si>
  <si>
    <t>ELT 2 sessions x 6</t>
  </si>
  <si>
    <t>Language 3 sessions x 6</t>
  </si>
  <si>
    <t>Total add. clients/year</t>
  </si>
  <si>
    <t>BUDGET FOR              Apr 1, 2022- Mar 2023</t>
  </si>
  <si>
    <t>BUDGET FOR              Apr 2022-Mar 2023</t>
  </si>
  <si>
    <t>Summary</t>
  </si>
  <si>
    <t xml:space="preserve">TOTAL </t>
  </si>
  <si>
    <t>requested amount</t>
  </si>
  <si>
    <t xml:space="preserve">Evaluation consultant </t>
  </si>
  <si>
    <t>In-person business resumption cost</t>
  </si>
  <si>
    <t>Application Portal Format</t>
  </si>
  <si>
    <t>Line Item</t>
  </si>
  <si>
    <t>Salary, Wage and Benefit</t>
  </si>
  <si>
    <t>Delivery assistance tools and materials</t>
  </si>
  <si>
    <t>3.94% of eligible expenses</t>
  </si>
  <si>
    <t>Total PD</t>
  </si>
  <si>
    <t>Capital Expenses</t>
  </si>
  <si>
    <t>GST/HST</t>
  </si>
  <si>
    <t>Total Capital</t>
  </si>
  <si>
    <t>Admin</t>
  </si>
  <si>
    <t>Total</t>
  </si>
  <si>
    <t>Training and Professional Development</t>
  </si>
  <si>
    <t>Travel</t>
  </si>
  <si>
    <t>Professional and Consultant Fee</t>
  </si>
  <si>
    <t>Sept 2020-Mar 2021</t>
  </si>
  <si>
    <t>Staff travel reimburse at a rate of $0.50/km or TTC tokens, parking charge if required
$60/mth</t>
  </si>
  <si>
    <t>Consultant to develop evaluation framework and implement baseline survey $120/hr</t>
  </si>
  <si>
    <t>Consultant (environmental scan)</t>
  </si>
  <si>
    <t>Tools/technology for online meetings, materials, stationary for in-person meetings (assume 50%) to facilitate 6 Advisory Committee mtgs., 4 Model Development Group mtgs, 15 topic-based and 12 neighbourhood-based group meetings, 3 focus groups = total of 40</t>
  </si>
  <si>
    <t>Facilitate project activities, committee meetings, implement the model development strategy, liaise with consultants, produce project documentation</t>
  </si>
  <si>
    <t>Senior Manager</t>
  </si>
  <si>
    <t>Facilitate project activities, Advisory- and Model Development group, implement the model development strategy, liaise with consultants, produce project documentation</t>
  </si>
  <si>
    <t>Honorarium for newcomer participants</t>
  </si>
  <si>
    <t>Committee &amp; Focus group meetings</t>
  </si>
  <si>
    <t>Committee &amp; group meetings</t>
  </si>
  <si>
    <t>Sept 2021-Mar 2022</t>
  </si>
  <si>
    <t>Develop content to be used in diverse communication channels for communication and engagement, support engagement activities &amp; facilitation of neighbourhood-based peer group meetings, topic-based action groups, newcomer engagement &amp; community input into model development</t>
  </si>
  <si>
    <t>FT Communitcation &amp; Engagement Facilitator</t>
  </si>
  <si>
    <t xml:space="preserve">FT  Partnership Lead </t>
  </si>
  <si>
    <t xml:space="preserve">Develop communication structure and content to be used in diverse communication channels for outreach and engagement, prepare for communit &amp; stakeholder engagement in Y2; prepare communication tools and materials as needed; training content and materials for committee member preparation; TOR, MOU; maintain what is being developed; develop content to be used in diverse formats, including print &amp; online content, social media, translation sourced where needed. </t>
  </si>
  <si>
    <t xml:space="preserve">SDI  Budget template </t>
  </si>
  <si>
    <t>Scarborough Newcomer Settlement Collective (SNSC)</t>
  </si>
  <si>
    <t>File No</t>
  </si>
  <si>
    <t>X223931003</t>
  </si>
  <si>
    <t>Office supplies for PD staff's use</t>
  </si>
  <si>
    <t>Phototcopy &amp; Printing - Business Card</t>
  </si>
  <si>
    <t>Security Alarm Monitoring</t>
  </si>
  <si>
    <t>General Software Purchase/updates</t>
  </si>
  <si>
    <t xml:space="preserve">GST </t>
  </si>
  <si>
    <t xml:space="preserve">Total </t>
  </si>
  <si>
    <t xml:space="preserve">Program materials &amp; supplies(include stationery like paper, pen, files, binders, printer cartridges, notebooks  for participants
</t>
  </si>
  <si>
    <t>CFP  submission (max )</t>
  </si>
  <si>
    <t>variance</t>
  </si>
  <si>
    <t xml:space="preserve">Software </t>
  </si>
  <si>
    <t xml:space="preserve">Staff laptop $191.91 (MS office $67+ ESET $33+ Window $91.91) x 2  </t>
  </si>
  <si>
    <t xml:space="preserve">Supporting and servicing of computer, laptop, phone equipment including network maintenance, minor hardware repair to computers, laptops and servers
</t>
  </si>
  <si>
    <t xml:space="preserve">Staff travel reimburse at a rate of $0.50/km or TTC tokens, parking charge if required
</t>
  </si>
  <si>
    <t>Office furniture (replacement)</t>
  </si>
  <si>
    <t xml:space="preserve">Salaries &amp; benefit </t>
  </si>
  <si>
    <t>Total Program Delivery Cost</t>
  </si>
  <si>
    <t>Total Capital Cost</t>
  </si>
  <si>
    <t>GST /HST</t>
  </si>
  <si>
    <t>Total GST/HST</t>
  </si>
  <si>
    <t>Cover portion of PPE, cleaning , disinfected services  etc.</t>
  </si>
  <si>
    <t>Hrly Rate</t>
  </si>
  <si>
    <t>Hrs / Wk</t>
  </si>
  <si>
    <t>Wks / Annum</t>
  </si>
  <si>
    <t>No. of Position</t>
  </si>
  <si>
    <t>Stat. Holiday</t>
  </si>
  <si>
    <t xml:space="preserve">Executive Director </t>
  </si>
  <si>
    <t>% of total expenses of $</t>
  </si>
  <si>
    <t xml:space="preserve">Finance Director </t>
  </si>
  <si>
    <t>Director, P &amp; C</t>
  </si>
  <si>
    <t>Sr. Accountant</t>
  </si>
  <si>
    <t>Sr. Payroll Lead</t>
  </si>
  <si>
    <t>Sr. HR Generalist</t>
  </si>
  <si>
    <t>Executive Assistant</t>
  </si>
  <si>
    <t>System Administrator</t>
  </si>
  <si>
    <t>Finance Administrator</t>
  </si>
  <si>
    <t xml:space="preserve">Asso. Director, Fund development </t>
  </si>
  <si>
    <t>Director, Programs and Services</t>
  </si>
  <si>
    <t>Salary &amp; Benefit Sub-total</t>
  </si>
  <si>
    <t>Overhead Cost - Central Admin</t>
  </si>
  <si>
    <t xml:space="preserve">Telecommunication </t>
  </si>
  <si>
    <t xml:space="preserve">Tech Support </t>
  </si>
  <si>
    <t>Office Supplies (including postage and photocopying</t>
  </si>
  <si>
    <t>Staff Travel (not including attending conferences)</t>
  </si>
  <si>
    <t>Bank Charges</t>
  </si>
  <si>
    <t>Payroll Charges</t>
  </si>
  <si>
    <t>Insurance</t>
  </si>
  <si>
    <t>Audit Fee</t>
  </si>
  <si>
    <t>Consultation Fee</t>
  </si>
  <si>
    <t>Legal Fee</t>
  </si>
  <si>
    <t>Association Fees</t>
  </si>
  <si>
    <t>Volunteer Recognition</t>
  </si>
  <si>
    <t>Promotion &amp; Marketing</t>
  </si>
  <si>
    <t>Photocopier Leasing</t>
  </si>
  <si>
    <t>Training (Professional Development)</t>
  </si>
  <si>
    <t>HR Expenses</t>
  </si>
  <si>
    <t>Occupancy (Rent,Utility and Maintainence)</t>
  </si>
  <si>
    <t>Eligible HST/GST</t>
  </si>
  <si>
    <t>Total Central Admin overhead cost</t>
  </si>
  <si>
    <t>Total Admininstratvie</t>
  </si>
  <si>
    <t>Admin %</t>
  </si>
  <si>
    <t>BUDGET FOR              Apr 1, 2023- Mar 2024</t>
  </si>
  <si>
    <t xml:space="preserve">Printing evaluation forms, handouts, Includes photocopier charge, toner cartridge and copy paper.   </t>
  </si>
  <si>
    <t>(7 month budget )</t>
  </si>
  <si>
    <t>Budget needed to support direct PD (Program Delivery)</t>
  </si>
  <si>
    <t xml:space="preserve">Budget needed to support direct PD Sub-total </t>
  </si>
  <si>
    <t>Occupancy Cost (Rent &amp; Maintenance)</t>
  </si>
  <si>
    <t>BUDGET FOR              Dec 1, 2021- March 31, 2022 (4 mths)</t>
  </si>
  <si>
    <t xml:space="preserve"> Senior Manager</t>
  </si>
  <si>
    <t xml:space="preserve">Volunteer Coordinator </t>
  </si>
  <si>
    <t>(4 month budget)</t>
  </si>
  <si>
    <t>Dec  2021-Mar 2022</t>
  </si>
  <si>
    <t>Senior Manager needs to provide leadership, guidance, strategic direction and support in terms of building and enhancing collaboration/ partnerships, model development and pilot testing. In particular, Senior Manager needs more time to be involved in building stakeholder relations and buy in of diverse audience groups, including funders, institutions and different service provider oganizations.</t>
  </si>
  <si>
    <t>Submitted Aug. 2021</t>
  </si>
  <si>
    <t>Data and evidence is key to making informed decisions on service and resource planning. UTSC will develop the evidence portion of the model: Provide expertise in data and evidence-creation; research and make recommendations for data system to provide local, timely evidence on emerging newcomer service trends to inform decision-making. The amount includes cost for 420 students hours x $22.80 (i.e $20/hr+ 14% merc)= $9,576, project support, materials &amp; technology for data system ($2,000)</t>
  </si>
  <si>
    <t>Tools/technology and supplies to facilitate Advisory Committee mtgs., focus groups for environmental scan 2 Advisory Committee mtgs, 1 Focus Groups</t>
  </si>
  <si>
    <t xml:space="preserve">To support newcomers to participate in the model; Neighbourhood-based groups =5part.x12mtgs, 1 focus group for newcomers = 1x6particip., Model Development Group 2part.x4mtgs., Advisory Committee 1 part.x6mtgs.
</t>
  </si>
  <si>
    <t xml:space="preserve">MERC </t>
  </si>
  <si>
    <t>PD</t>
  </si>
  <si>
    <t>CPP</t>
  </si>
  <si>
    <t xml:space="preserve">EI </t>
  </si>
  <si>
    <t>EHT</t>
  </si>
  <si>
    <t>Vacation Pay</t>
  </si>
  <si>
    <t>Total MERC</t>
  </si>
  <si>
    <t>CCS - Average rate 20.35% including CPP, EI, EHT, Vacation Pay, Group Benefit &amp; Pension Plan</t>
  </si>
  <si>
    <t>CCS - Average rate 13.76% including CPP, EI, EHT, Vacation Pay, Group Benefit &amp; Pension Plan</t>
  </si>
  <si>
    <t>Variance vs. Max. Funding</t>
  </si>
  <si>
    <t>Non MERC</t>
  </si>
  <si>
    <t>ADMIN</t>
  </si>
  <si>
    <t>Shared space with other programs at 55 Town Centre Ct. (office, meeting room) so that staff can meet with stakeholders, facilitate in person meetings participants, 
55 Town Centre
Rent- $28.22/sq. ft/anuual  for155 sq. ft  + 
Maintenance &amp; repairs, cleaning supplies  $100/annum</t>
  </si>
  <si>
    <t>(5 month budget)</t>
  </si>
  <si>
    <t>Compared with 7 month budget</t>
  </si>
  <si>
    <t>Dec 2021- March 2022</t>
  </si>
  <si>
    <t>Implement evaluation activities, modify tools where needed and write mid-term report</t>
  </si>
  <si>
    <t>replace broken furniture ( 1desk $500 + 1 chair $75)</t>
  </si>
  <si>
    <t>FT Communication &amp; Engagement Facilitator</t>
  </si>
  <si>
    <t xml:space="preserve">Printing revaluation forms, handouts,  Includes photocopier charge, toner cartridge and copy paper. Print flyers for engagement of residents in neighbourhood groups and focus groups $100/mo x 12 mo = $1200 &amp; printing of mid-term evaluation (35 copies x $10/copy = $350)  </t>
  </si>
  <si>
    <t>Program materials &amp; supplies(include stationary like paper, pen, files, binders, printer cartridges, office cleaning supplies) to support roll out of program activities  $70/mth</t>
  </si>
  <si>
    <t>Suport recruitment of volunteers to help and engage participants in focus group, evaluation activities and any support to neighbourhood group participants per needed</t>
  </si>
  <si>
    <t>Suport recruitment of volunteers to help and engage participants in focus group, evaluation activities and any support to clients per needed</t>
  </si>
  <si>
    <r>
      <t>To support newcomers to participate in the model development; 1 Focus group = 1x6particip.,</t>
    </r>
    <r>
      <rPr>
        <sz val="10"/>
        <color rgb="FFFF0000"/>
        <rFont val="Arial"/>
        <family val="2"/>
      </rPr>
      <t xml:space="preserve"> 2</t>
    </r>
    <r>
      <rPr>
        <sz val="10"/>
        <rFont val="Arial"/>
        <family val="2"/>
      </rPr>
      <t xml:space="preserve"> Advisory Committee 1 part.x </t>
    </r>
    <r>
      <rPr>
        <sz val="10"/>
        <color rgb="FFFF0000"/>
        <rFont val="Arial"/>
        <family val="2"/>
      </rPr>
      <t>2</t>
    </r>
    <r>
      <rPr>
        <sz val="10"/>
        <rFont val="Arial"/>
        <family val="2"/>
      </rPr>
      <t xml:space="preserve">mtgs.; Model Development Group 2part.x1mtgs </t>
    </r>
  </si>
  <si>
    <t xml:space="preserve">Telephone landline, fax, internet at 55 Town Center  $79/month x 12 months = $948
Cell phone at $35.00/ month/cell phone x 2 phones x 12 months= $840
Subscriptions to online tools, 100/user/annual x 1 user = $100 </t>
  </si>
  <si>
    <t>Revised:  Nov 3, 2021</t>
  </si>
  <si>
    <t>Data and evidence is key to making informed decisions on service and resource planning. Provide expertise in data and evidence; set up data system  to provide local, timely evidence on emerging newcomer service trends to inform decision-making; IT consultant expertise &amp; data scientist plus cost for IT infrastructure for data platform, tools
The amount includes cost for approx 1,330 students hours  x$22.8/hr (ie. $20/hr +14% merc) = $30,324, project support, and materials &amp; technology for data system ($4,000)</t>
  </si>
  <si>
    <t>Consultant to finalize environmental scan started in Y1, which includes prepare summary of findings from literature review, consultations, mapping and promising practices review, and write report with recommendations (27hrs). Findings from the environmental scan will form the basis for the model development.</t>
  </si>
  <si>
    <t>To prepare the start up of the Model Development and provide the Advisory and Model Development Group with evidence to inform their planning and decision-making, consultant to conduct environmental scan, which includes background research (literature review, scan of funding landscape, community needs and priorities related to newcomers - 40hrs), stakeholder consultation, produce mapping of existing networks, key stakeholders and decision-making processes (60hrs), conduct promising practices review, start analyzing findings from research and consultations (23hrs); Findings from the environmental scan will form the basis for the model development.
120/hr x 123hrs</t>
  </si>
  <si>
    <t>Telephone landline, fax, internet at 55 Town Center  $79/month x 4 months = $316
Cell phone at $35.00/ month/cell phone x 2 phones x 4 months= $280
Subscriptions to online tools, 100/user/annual x 1 users=$100 
Cell phone sets for 2 staff $270/each x 2=$540</t>
  </si>
  <si>
    <t>Approved</t>
  </si>
  <si>
    <t>To match with GCS</t>
  </si>
  <si>
    <t>To match GCS</t>
  </si>
  <si>
    <t>Peripheral for 2 staff laptop, incl. carrying case, mouse, headset $139.67each x 2</t>
  </si>
  <si>
    <t>Laptop for staff, instructor (2 new staff) $1,193/laptop x2.  Based on the quote -insight</t>
  </si>
  <si>
    <t>2 Peripherals</t>
  </si>
  <si>
    <t>2 laptops</t>
  </si>
  <si>
    <r>
      <t xml:space="preserve">UTSC Research &amp; Data System (foundation)
</t>
    </r>
    <r>
      <rPr>
        <b/>
        <sz val="10"/>
        <color rgb="FFFF0000"/>
        <rFont val="Arial"/>
        <family val="2"/>
      </rPr>
      <t>The Cost breakdown for this Sub-agreement is provided in a separate sheet</t>
    </r>
  </si>
  <si>
    <r>
      <t xml:space="preserve">UTSC Research &amp; Data System 
</t>
    </r>
    <r>
      <rPr>
        <b/>
        <sz val="10"/>
        <color rgb="FFFF0000"/>
        <rFont val="Arial"/>
        <family val="2"/>
      </rPr>
      <t>The Cost breakdown for this Sub-agreement is provided in a separate sheet</t>
    </r>
  </si>
  <si>
    <t xml:space="preserve">SDI  Budget - UTSC Subagreement </t>
  </si>
  <si>
    <t>Revised:  Nov 17, 2021</t>
  </si>
  <si>
    <t>UTSC Subagreement detailed budget</t>
  </si>
  <si>
    <t>UTSC Student salary</t>
  </si>
  <si>
    <t>Data and evidence is key to making informed decisions on service and resource planning. UTSC will develop the evidence portion of the model: Provide expertise in data and evidence-creation; research and make recommendations for data system to provide local, timely evidence on emerging newcomer service trends to inform decision-making.  $20/hr x 420hrs</t>
  </si>
  <si>
    <t>UTSC Student MERC &amp; benefit</t>
  </si>
  <si>
    <t>Merc &amp; benefit 14%</t>
  </si>
  <si>
    <t>Materials &amp; technology for data system</t>
  </si>
  <si>
    <t>Project support, materials &amp; technology for data system</t>
  </si>
  <si>
    <t>SDI Application Budget - UTSC Subagreement</t>
  </si>
  <si>
    <t xml:space="preserve">UTSC Data Scientist </t>
  </si>
  <si>
    <t xml:space="preserve">Data and evidence is key to making informed decisions on service and resource planning. Provide expertise in data and evidence; set up data system  to provide local, timely evidence on emerging newcomer service trends to inform decision-making;
532 hours x$25/hr </t>
  </si>
  <si>
    <t>UTSC IT Consultant</t>
  </si>
  <si>
    <t xml:space="preserve">IT consultant expertise to set up data system and supporting IT infrastructure tools 
532 hours x$25/hr </t>
  </si>
  <si>
    <t>14% Mercs &amp; benefits</t>
  </si>
  <si>
    <t>IT Infrastucture, project support, materials &amp; technology for data system</t>
  </si>
  <si>
    <t>Hrs/Wk</t>
  </si>
  <si>
    <t>Wks</t>
  </si>
  <si>
    <t># of Position</t>
  </si>
  <si>
    <t>Holiday Pay</t>
  </si>
  <si>
    <t>BUDGET FOR       (Date)</t>
  </si>
  <si>
    <t xml:space="preserve">Budget template </t>
  </si>
  <si>
    <t>Training &amp;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</si>
</sst>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quot;$&quot;#,##0"/>
    <numFmt numFmtId="166" formatCode="0.0"/>
    <numFmt numFmtId="167" formatCode="&quot;$&quot;#,##0.000"/>
    <numFmt numFmtId="168" formatCode="_(* #,##0_);_(* \(#,##0\);_(* &quot;-&quot;??_);_(@_)"/>
    <numFmt numFmtId="169" formatCode="_-* #,##0_-;\-* #,##0_-;_-* &quot;-&quot;??_-;_-@_-"/>
    <numFmt numFmtId="170" formatCode="#,##0_ ;\-#,##0\ "/>
    <numFmt numFmtId="171" formatCode="#,##0.0"/>
    <numFmt numFmtId="172" formatCode="#,##0.00_ ;\-#,##0.00\ "/>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b/>
      <sz val="12"/>
      <name val="Arial"/>
      <family val="2"/>
    </font>
    <font>
      <sz val="10"/>
      <name val="Arial"/>
      <family val="2"/>
    </font>
    <font>
      <b/>
      <sz val="16"/>
      <name val="Arial"/>
      <family val="2"/>
    </font>
    <font>
      <sz val="10"/>
      <color rgb="FFFF0000"/>
      <name val="Arial"/>
      <family val="2"/>
    </font>
    <font>
      <u/>
      <sz val="9.1999999999999993"/>
      <color theme="10"/>
      <name val="Arial"/>
      <family val="2"/>
    </font>
    <font>
      <u/>
      <sz val="9.1999999999999993"/>
      <name val="Arial"/>
      <family val="2"/>
    </font>
    <font>
      <u/>
      <sz val="9.1999999999999993"/>
      <color rgb="FFFF0000"/>
      <name val="Arial"/>
      <family val="2"/>
    </font>
    <font>
      <sz val="10"/>
      <color theme="1"/>
      <name val="Arial"/>
      <family val="2"/>
    </font>
    <font>
      <sz val="10"/>
      <name val="Arial"/>
      <family val="2"/>
    </font>
    <font>
      <b/>
      <sz val="11"/>
      <name val="Arial"/>
      <family val="2"/>
    </font>
    <font>
      <b/>
      <sz val="10"/>
      <color theme="1"/>
      <name val="Arial"/>
      <family val="2"/>
    </font>
    <font>
      <b/>
      <sz val="10"/>
      <name val="Calibri"/>
      <family val="2"/>
      <scheme val="minor"/>
    </font>
    <font>
      <sz val="10"/>
      <name val="Calibri"/>
      <family val="2"/>
      <scheme val="minor"/>
    </font>
    <font>
      <sz val="12"/>
      <name val="Arial"/>
      <family val="2"/>
    </font>
    <font>
      <sz val="11"/>
      <color rgb="FF006100"/>
      <name val="Calibri"/>
      <family val="2"/>
      <scheme val="minor"/>
    </font>
    <font>
      <sz val="10"/>
      <color theme="3" tint="-0.249977111117893"/>
      <name val="Arial"/>
      <family val="2"/>
    </font>
    <font>
      <b/>
      <sz val="10"/>
      <color theme="3" tint="-0.249977111117893"/>
      <name val="Arial"/>
      <family val="2"/>
    </font>
    <font>
      <sz val="11"/>
      <color rgb="FFFF0000"/>
      <name val="Calibri"/>
      <family val="2"/>
      <scheme val="minor"/>
    </font>
    <font>
      <sz val="11"/>
      <name val="Arial"/>
      <family val="2"/>
    </font>
    <font>
      <sz val="8"/>
      <name val="Arial"/>
      <family val="2"/>
    </font>
    <font>
      <sz val="9"/>
      <color indexed="81"/>
      <name val="Tahoma"/>
      <family val="2"/>
    </font>
    <font>
      <b/>
      <sz val="9"/>
      <color indexed="81"/>
      <name val="Tahoma"/>
      <family val="2"/>
    </font>
    <font>
      <sz val="11"/>
      <name val="Calibri"/>
      <family val="2"/>
      <scheme val="minor"/>
    </font>
    <font>
      <b/>
      <sz val="10"/>
      <color rgb="FFFF0000"/>
      <name val="Arial"/>
      <family val="2"/>
    </font>
    <font>
      <b/>
      <sz val="12"/>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gray0625">
        <bgColor indexed="43"/>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99FF99"/>
        <bgColor indexed="64"/>
      </patternFill>
    </fill>
    <fill>
      <patternFill patternType="solid">
        <fgColor rgb="FFC6EFCE"/>
      </patternFill>
    </fill>
    <fill>
      <patternFill patternType="gray0625">
        <bgColor rgb="FFFFFF00"/>
      </patternFill>
    </fill>
    <fill>
      <patternFill patternType="solid">
        <fgColor rgb="FFCCFF66"/>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gray0625">
        <bgColor theme="6" tint="0.39997558519241921"/>
      </patternFill>
    </fill>
  </fills>
  <borders count="8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dotted">
        <color indexed="64"/>
      </top>
      <bottom style="dotted">
        <color indexed="64"/>
      </bottom>
      <diagonal/>
    </border>
    <border>
      <left/>
      <right/>
      <top style="medium">
        <color indexed="64"/>
      </top>
      <bottom style="medium">
        <color indexed="64"/>
      </bottom>
      <diagonal/>
    </border>
    <border>
      <left/>
      <right/>
      <top/>
      <bottom style="dott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medium">
        <color indexed="64"/>
      </left>
      <right style="hair">
        <color indexed="64"/>
      </right>
      <top style="dotted">
        <color indexed="64"/>
      </top>
      <bottom style="hair">
        <color indexed="64"/>
      </bottom>
      <diagonal/>
    </border>
    <border>
      <left style="dotted">
        <color indexed="64"/>
      </left>
      <right/>
      <top/>
      <bottom/>
      <diagonal/>
    </border>
    <border>
      <left style="medium">
        <color indexed="64"/>
      </left>
      <right/>
      <top/>
      <bottom style="dotted">
        <color indexed="64"/>
      </bottom>
      <diagonal/>
    </border>
    <border>
      <left style="medium">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0" fontId="12" fillId="0" borderId="0" applyNumberFormat="0" applyFill="0" applyBorder="0" applyAlignment="0" applyProtection="0">
      <alignment vertical="top"/>
      <protection locked="0"/>
    </xf>
    <xf numFmtId="9" fontId="16" fillId="0" borderId="0" applyFont="0" applyFill="0" applyBorder="0" applyAlignment="0" applyProtection="0"/>
    <xf numFmtId="43" fontId="16" fillId="0" borderId="0" applyFont="0" applyFill="0" applyBorder="0" applyAlignment="0" applyProtection="0"/>
    <xf numFmtId="0" fontId="4"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22" fillId="10" borderId="0" applyNumberFormat="0" applyBorder="0" applyAlignment="0" applyProtection="0"/>
    <xf numFmtId="0" fontId="3" fillId="0" borderId="0"/>
    <xf numFmtId="0" fontId="1" fillId="0" borderId="0"/>
    <xf numFmtId="164" fontId="1" fillId="0" borderId="0" applyFont="0" applyFill="0" applyBorder="0" applyAlignment="0" applyProtection="0"/>
  </cellStyleXfs>
  <cellXfs count="594">
    <xf numFmtId="0" fontId="0" fillId="0" borderId="0" xfId="0"/>
    <xf numFmtId="0" fontId="0" fillId="0" borderId="3" xfId="0" applyBorder="1"/>
    <xf numFmtId="0" fontId="7" fillId="0" borderId="5" xfId="0" applyFont="1" applyBorder="1" applyAlignment="1">
      <alignment horizontal="right"/>
    </xf>
    <xf numFmtId="165" fontId="6" fillId="3" borderId="10" xfId="0" applyNumberFormat="1" applyFont="1" applyFill="1" applyBorder="1" applyAlignment="1">
      <alignment horizontal="center"/>
    </xf>
    <xf numFmtId="165" fontId="0" fillId="3" borderId="11" xfId="0" applyNumberFormat="1" applyFill="1" applyBorder="1" applyAlignment="1">
      <alignment horizontal="center"/>
    </xf>
    <xf numFmtId="2" fontId="6" fillId="4" borderId="10" xfId="0" applyNumberFormat="1" applyFont="1" applyFill="1" applyBorder="1" applyAlignment="1">
      <alignment horizontal="center"/>
    </xf>
    <xf numFmtId="2" fontId="6" fillId="4" borderId="12" xfId="0" applyNumberFormat="1" applyFont="1" applyFill="1" applyBorder="1" applyAlignment="1">
      <alignment horizontal="center"/>
    </xf>
    <xf numFmtId="4" fontId="0" fillId="3" borderId="15" xfId="0" applyNumberFormat="1" applyFill="1" applyBorder="1" applyAlignment="1">
      <alignment horizontal="center"/>
    </xf>
    <xf numFmtId="166" fontId="0" fillId="3" borderId="16" xfId="0" applyNumberFormat="1" applyFill="1" applyBorder="1" applyAlignment="1">
      <alignment horizontal="center"/>
    </xf>
    <xf numFmtId="0" fontId="0" fillId="3" borderId="16" xfId="0" applyFill="1" applyBorder="1" applyAlignment="1">
      <alignment horizontal="center"/>
    </xf>
    <xf numFmtId="0" fontId="5" fillId="0" borderId="2" xfId="0" applyFont="1" applyBorder="1"/>
    <xf numFmtId="2" fontId="0" fillId="3" borderId="16" xfId="0" applyNumberFormat="1" applyFill="1" applyBorder="1" applyAlignment="1">
      <alignment horizontal="center"/>
    </xf>
    <xf numFmtId="0" fontId="5" fillId="2" borderId="19" xfId="0" applyFont="1" applyFill="1" applyBorder="1" applyAlignment="1">
      <alignment horizontal="center" vertical="center" wrapText="1"/>
    </xf>
    <xf numFmtId="0" fontId="5" fillId="0" borderId="3" xfId="0" applyFont="1" applyBorder="1"/>
    <xf numFmtId="4" fontId="0" fillId="3" borderId="21" xfId="0" applyNumberFormat="1" applyFill="1" applyBorder="1" applyAlignment="1">
      <alignment horizontal="center"/>
    </xf>
    <xf numFmtId="166" fontId="0" fillId="3" borderId="22" xfId="0" applyNumberFormat="1" applyFill="1" applyBorder="1" applyAlignment="1">
      <alignment horizontal="center"/>
    </xf>
    <xf numFmtId="0" fontId="0" fillId="3" borderId="22" xfId="0" applyFill="1" applyBorder="1" applyAlignment="1">
      <alignment horizontal="center"/>
    </xf>
    <xf numFmtId="4" fontId="0" fillId="3" borderId="23" xfId="0" applyNumberFormat="1" applyFill="1" applyBorder="1" applyAlignment="1">
      <alignment horizontal="center"/>
    </xf>
    <xf numFmtId="166" fontId="0" fillId="3" borderId="24" xfId="0" applyNumberFormat="1" applyFill="1" applyBorder="1" applyAlignment="1">
      <alignment horizontal="center"/>
    </xf>
    <xf numFmtId="0" fontId="0" fillId="3" borderId="24" xfId="0" applyFill="1" applyBorder="1" applyAlignment="1">
      <alignment horizontal="center"/>
    </xf>
    <xf numFmtId="2" fontId="0" fillId="3" borderId="24" xfId="0" applyNumberFormat="1" applyFill="1" applyBorder="1" applyAlignment="1">
      <alignment horizontal="center"/>
    </xf>
    <xf numFmtId="0" fontId="5" fillId="0" borderId="4" xfId="0" applyFont="1" applyBorder="1"/>
    <xf numFmtId="2" fontId="5" fillId="3" borderId="16" xfId="0" applyNumberFormat="1" applyFont="1" applyFill="1" applyBorder="1" applyAlignment="1">
      <alignment horizontal="center"/>
    </xf>
    <xf numFmtId="165" fontId="5" fillId="3" borderId="9" xfId="0" applyNumberFormat="1" applyFont="1" applyFill="1" applyBorder="1" applyAlignment="1">
      <alignment horizontal="center"/>
    </xf>
    <xf numFmtId="165" fontId="12" fillId="3" borderId="20" xfId="1" applyNumberFormat="1" applyFill="1" applyBorder="1" applyAlignment="1" applyProtection="1">
      <alignment horizontal="center" wrapText="1"/>
    </xf>
    <xf numFmtId="165" fontId="0" fillId="3" borderId="20" xfId="0" applyNumberFormat="1" applyFill="1" applyBorder="1" applyAlignment="1">
      <alignment horizontal="center" wrapText="1"/>
    </xf>
    <xf numFmtId="165" fontId="6" fillId="3" borderId="19" xfId="0" applyNumberFormat="1" applyFont="1" applyFill="1" applyBorder="1" applyAlignment="1">
      <alignment horizontal="center" wrapText="1"/>
    </xf>
    <xf numFmtId="0" fontId="5" fillId="5" borderId="4" xfId="0" applyFont="1" applyFill="1" applyBorder="1" applyAlignment="1">
      <alignment wrapText="1"/>
    </xf>
    <xf numFmtId="0" fontId="6" fillId="0" borderId="3" xfId="0" applyFont="1" applyBorder="1"/>
    <xf numFmtId="4" fontId="11" fillId="3" borderId="15" xfId="0" applyNumberFormat="1" applyFont="1" applyFill="1" applyBorder="1" applyAlignment="1">
      <alignment horizontal="center"/>
    </xf>
    <xf numFmtId="166" fontId="11" fillId="3" borderId="16" xfId="0" applyNumberFormat="1" applyFont="1" applyFill="1" applyBorder="1" applyAlignment="1">
      <alignment horizontal="center"/>
    </xf>
    <xf numFmtId="0" fontId="11" fillId="3" borderId="16" xfId="0" applyFont="1" applyFill="1" applyBorder="1" applyAlignment="1">
      <alignment horizontal="center"/>
    </xf>
    <xf numFmtId="0" fontId="11" fillId="0" borderId="2" xfId="0" applyFont="1" applyBorder="1"/>
    <xf numFmtId="165" fontId="11" fillId="3" borderId="11" xfId="0" applyNumberFormat="1" applyFont="1" applyFill="1" applyBorder="1" applyAlignment="1">
      <alignment horizontal="center"/>
    </xf>
    <xf numFmtId="165" fontId="14" fillId="3" borderId="20" xfId="1" applyNumberFormat="1" applyFont="1" applyFill="1" applyBorder="1" applyAlignment="1" applyProtection="1">
      <alignment horizontal="center" wrapText="1"/>
    </xf>
    <xf numFmtId="0" fontId="5" fillId="2" borderId="5" xfId="0" applyFont="1" applyFill="1" applyBorder="1" applyAlignment="1">
      <alignment horizontal="center" vertical="center" wrapText="1"/>
    </xf>
    <xf numFmtId="165" fontId="12" fillId="3" borderId="4" xfId="1" applyNumberFormat="1" applyFill="1" applyBorder="1" applyAlignment="1" applyProtection="1">
      <alignment horizontal="center" wrapText="1"/>
    </xf>
    <xf numFmtId="165" fontId="0" fillId="3" borderId="4" xfId="0" applyNumberFormat="1" applyFill="1" applyBorder="1" applyAlignment="1">
      <alignment horizontal="center" wrapText="1"/>
    </xf>
    <xf numFmtId="165" fontId="6" fillId="3" borderId="5" xfId="0" applyNumberFormat="1" applyFont="1" applyFill="1" applyBorder="1" applyAlignment="1">
      <alignment horizontal="center" wrapText="1"/>
    </xf>
    <xf numFmtId="167" fontId="6" fillId="3" borderId="5" xfId="0" applyNumberFormat="1" applyFont="1" applyFill="1" applyBorder="1" applyAlignment="1">
      <alignment horizontal="center" wrapText="1"/>
    </xf>
    <xf numFmtId="2" fontId="0" fillId="3" borderId="25" xfId="0" applyNumberFormat="1" applyFill="1" applyBorder="1" applyAlignment="1">
      <alignment horizontal="center"/>
    </xf>
    <xf numFmtId="2" fontId="11" fillId="3" borderId="16" xfId="0" applyNumberFormat="1" applyFont="1" applyFill="1" applyBorder="1" applyAlignment="1">
      <alignment horizontal="center"/>
    </xf>
    <xf numFmtId="2" fontId="0" fillId="3" borderId="14" xfId="0" applyNumberFormat="1" applyFill="1" applyBorder="1" applyAlignment="1">
      <alignment horizontal="center"/>
    </xf>
    <xf numFmtId="0" fontId="6" fillId="0" borderId="18" xfId="0" applyFont="1" applyBorder="1" applyAlignment="1">
      <alignment vertical="center" textRotation="90"/>
    </xf>
    <xf numFmtId="167" fontId="6" fillId="3" borderId="1" xfId="0" applyNumberFormat="1" applyFont="1" applyFill="1" applyBorder="1" applyAlignment="1">
      <alignment horizontal="center" wrapText="1"/>
    </xf>
    <xf numFmtId="0" fontId="0" fillId="0" borderId="5" xfId="0" applyBorder="1"/>
    <xf numFmtId="0" fontId="6" fillId="0" borderId="4" xfId="0" applyFont="1" applyBorder="1"/>
    <xf numFmtId="4" fontId="15" fillId="3" borderId="23" xfId="0" applyNumberFormat="1" applyFont="1" applyFill="1" applyBorder="1" applyAlignment="1">
      <alignment horizontal="center"/>
    </xf>
    <xf numFmtId="165" fontId="5" fillId="3" borderId="4" xfId="0" applyNumberFormat="1" applyFont="1" applyFill="1" applyBorder="1" applyAlignment="1">
      <alignment horizontal="left" wrapText="1"/>
    </xf>
    <xf numFmtId="165" fontId="0" fillId="3" borderId="4" xfId="0" applyNumberFormat="1" applyFill="1" applyBorder="1" applyAlignment="1">
      <alignment horizontal="left" wrapText="1"/>
    </xf>
    <xf numFmtId="3" fontId="5" fillId="2" borderId="6" xfId="0" applyNumberFormat="1" applyFont="1" applyFill="1" applyBorder="1" applyAlignment="1">
      <alignment horizontal="center" vertical="center" wrapText="1"/>
    </xf>
    <xf numFmtId="3" fontId="5" fillId="3" borderId="32" xfId="0" applyNumberFormat="1" applyFont="1" applyFill="1" applyBorder="1" applyAlignment="1">
      <alignment horizontal="center" wrapText="1"/>
    </xf>
    <xf numFmtId="3" fontId="12" fillId="3" borderId="32" xfId="1" applyNumberFormat="1" applyFill="1" applyBorder="1" applyAlignment="1" applyProtection="1">
      <alignment horizontal="center" wrapText="1"/>
    </xf>
    <xf numFmtId="3" fontId="5" fillId="3" borderId="6" xfId="0" applyNumberFormat="1" applyFont="1" applyFill="1" applyBorder="1" applyAlignment="1">
      <alignment horizontal="center" wrapText="1"/>
    </xf>
    <xf numFmtId="3" fontId="14" fillId="3" borderId="32" xfId="1" applyNumberFormat="1" applyFont="1" applyFill="1" applyBorder="1" applyAlignment="1" applyProtection="1">
      <alignment horizontal="center" wrapText="1"/>
    </xf>
    <xf numFmtId="3" fontId="5" fillId="2" borderId="28" xfId="0" applyNumberFormat="1" applyFont="1" applyFill="1" applyBorder="1" applyAlignment="1">
      <alignment horizontal="center" vertical="center" wrapText="1"/>
    </xf>
    <xf numFmtId="3" fontId="5" fillId="5" borderId="4" xfId="0" applyNumberFormat="1" applyFont="1" applyFill="1" applyBorder="1" applyAlignment="1">
      <alignment wrapText="1"/>
    </xf>
    <xf numFmtId="3" fontId="5" fillId="3" borderId="26" xfId="0" applyNumberFormat="1" applyFont="1" applyFill="1" applyBorder="1" applyAlignment="1">
      <alignment horizontal="center" wrapText="1"/>
    </xf>
    <xf numFmtId="3" fontId="5" fillId="0" borderId="0" xfId="0" applyNumberFormat="1" applyFont="1"/>
    <xf numFmtId="0" fontId="5" fillId="0" borderId="4" xfId="0" applyFont="1" applyBorder="1" applyAlignment="1">
      <alignment horizontal="left" vertical="center"/>
    </xf>
    <xf numFmtId="0" fontId="0" fillId="3" borderId="24" xfId="0" applyFill="1" applyBorder="1" applyAlignment="1">
      <alignment horizontal="left" vertical="center"/>
    </xf>
    <xf numFmtId="0" fontId="5" fillId="0" borderId="4" xfId="0" applyFont="1" applyBorder="1" applyAlignment="1">
      <alignment vertical="center"/>
    </xf>
    <xf numFmtId="4" fontId="15" fillId="3" borderId="23" xfId="0" applyNumberFormat="1" applyFont="1" applyFill="1" applyBorder="1" applyAlignment="1">
      <alignment horizontal="center" vertical="center"/>
    </xf>
    <xf numFmtId="3" fontId="0" fillId="3" borderId="24" xfId="0" applyNumberFormat="1" applyFill="1" applyBorder="1" applyAlignment="1">
      <alignment horizontal="center" vertical="center"/>
    </xf>
    <xf numFmtId="0" fontId="0" fillId="3" borderId="24" xfId="0" applyFill="1" applyBorder="1" applyAlignment="1">
      <alignment horizontal="center" vertical="center"/>
    </xf>
    <xf numFmtId="0" fontId="5" fillId="0" borderId="4" xfId="0" applyFont="1" applyBorder="1" applyAlignment="1">
      <alignment vertical="center" wrapText="1"/>
    </xf>
    <xf numFmtId="4" fontId="15" fillId="3" borderId="23" xfId="0" applyNumberFormat="1" applyFont="1" applyFill="1" applyBorder="1" applyAlignment="1">
      <alignment horizontal="center" vertical="center" wrapText="1"/>
    </xf>
    <xf numFmtId="0" fontId="0" fillId="3" borderId="24" xfId="0" applyFill="1" applyBorder="1" applyAlignment="1">
      <alignment horizontal="center" vertical="center" wrapText="1"/>
    </xf>
    <xf numFmtId="165" fontId="5" fillId="3" borderId="11" xfId="0" applyNumberFormat="1" applyFont="1" applyFill="1" applyBorder="1" applyAlignment="1">
      <alignment horizontal="center" vertical="center" wrapText="1"/>
    </xf>
    <xf numFmtId="1" fontId="0" fillId="3" borderId="24" xfId="0" applyNumberFormat="1" applyFill="1" applyBorder="1" applyAlignment="1">
      <alignment horizontal="center"/>
    </xf>
    <xf numFmtId="1" fontId="0" fillId="3" borderId="24" xfId="0" applyNumberFormat="1" applyFill="1" applyBorder="1" applyAlignment="1">
      <alignment horizontal="center" vertical="center" wrapText="1"/>
    </xf>
    <xf numFmtId="0" fontId="6" fillId="0" borderId="4" xfId="0" applyFont="1" applyBorder="1" applyAlignment="1">
      <alignment vertical="center" wrapText="1"/>
    </xf>
    <xf numFmtId="3" fontId="5" fillId="2" borderId="1"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4" fontId="0" fillId="3" borderId="15" xfId="0" applyNumberFormat="1" applyFill="1" applyBorder="1" applyAlignment="1">
      <alignment horizontal="center" vertical="center" wrapText="1"/>
    </xf>
    <xf numFmtId="166" fontId="0" fillId="3" borderId="16" xfId="0" applyNumberFormat="1" applyFill="1" applyBorder="1" applyAlignment="1">
      <alignment horizontal="center" vertical="center" wrapText="1"/>
    </xf>
    <xf numFmtId="0" fontId="0" fillId="3" borderId="16" xfId="0" applyFill="1" applyBorder="1" applyAlignment="1">
      <alignment horizontal="center" vertical="center" wrapText="1"/>
    </xf>
    <xf numFmtId="165" fontId="15" fillId="3" borderId="9" xfId="0" applyNumberFormat="1" applyFont="1" applyFill="1" applyBorder="1" applyAlignment="1">
      <alignment horizontal="center" vertical="center" wrapText="1"/>
    </xf>
    <xf numFmtId="0" fontId="5" fillId="5" borderId="4" xfId="0" applyFont="1" applyFill="1" applyBorder="1" applyAlignment="1">
      <alignment vertical="center" wrapText="1"/>
    </xf>
    <xf numFmtId="0" fontId="6" fillId="0" borderId="0" xfId="0" applyFont="1" applyAlignment="1">
      <alignment horizontal="right"/>
    </xf>
    <xf numFmtId="0" fontId="6" fillId="0" borderId="0" xfId="0" applyFont="1"/>
    <xf numFmtId="168" fontId="5" fillId="0" borderId="13" xfId="3" applyNumberFormat="1" applyFont="1" applyBorder="1" applyAlignment="1">
      <alignment vertical="center" wrapText="1"/>
    </xf>
    <xf numFmtId="165" fontId="5" fillId="3" borderId="4" xfId="0" applyNumberFormat="1" applyFont="1" applyFill="1" applyBorder="1" applyAlignment="1">
      <alignment horizontal="left" vertical="center" wrapText="1"/>
    </xf>
    <xf numFmtId="1" fontId="0" fillId="3" borderId="24" xfId="0" applyNumberFormat="1" applyFill="1" applyBorder="1" applyAlignment="1">
      <alignment horizontal="center" vertical="center"/>
    </xf>
    <xf numFmtId="2" fontId="0" fillId="3" borderId="16" xfId="0" applyNumberFormat="1" applyFill="1" applyBorder="1" applyAlignment="1">
      <alignment horizontal="center" vertical="center" wrapText="1"/>
    </xf>
    <xf numFmtId="165" fontId="15" fillId="3" borderId="4" xfId="0" applyNumberFormat="1" applyFont="1" applyFill="1" applyBorder="1" applyAlignment="1">
      <alignment horizontal="left" wrapText="1"/>
    </xf>
    <xf numFmtId="0" fontId="15" fillId="0" borderId="4" xfId="0" applyFont="1" applyBorder="1" applyAlignment="1">
      <alignment vertical="center" wrapText="1"/>
    </xf>
    <xf numFmtId="1" fontId="15" fillId="3" borderId="24" xfId="0"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165" fontId="15" fillId="5" borderId="4" xfId="0" applyNumberFormat="1" applyFont="1" applyFill="1" applyBorder="1" applyAlignment="1">
      <alignment horizontal="left" vertical="center" wrapText="1"/>
    </xf>
    <xf numFmtId="0" fontId="18" fillId="0" borderId="4" xfId="0" applyFont="1" applyBorder="1"/>
    <xf numFmtId="3" fontId="15" fillId="3" borderId="23" xfId="0" applyNumberFormat="1" applyFont="1" applyFill="1" applyBorder="1" applyAlignment="1">
      <alignment horizontal="center"/>
    </xf>
    <xf numFmtId="10" fontId="15" fillId="3" borderId="24" xfId="2" applyNumberFormat="1" applyFont="1" applyFill="1" applyBorder="1" applyAlignment="1">
      <alignment horizontal="center"/>
    </xf>
    <xf numFmtId="0" fontId="15" fillId="3" borderId="24" xfId="0" applyFont="1" applyFill="1" applyBorder="1" applyAlignment="1">
      <alignment horizontal="center"/>
    </xf>
    <xf numFmtId="0" fontId="15" fillId="5" borderId="4" xfId="0" applyFont="1" applyFill="1" applyBorder="1" applyAlignment="1">
      <alignment wrapText="1"/>
    </xf>
    <xf numFmtId="166" fontId="0" fillId="3" borderId="24" xfId="0" applyNumberFormat="1" applyFill="1" applyBorder="1" applyAlignment="1">
      <alignment horizontal="center" vertical="center"/>
    </xf>
    <xf numFmtId="166" fontId="15" fillId="3" borderId="24" xfId="0" applyNumberFormat="1" applyFont="1" applyFill="1" applyBorder="1" applyAlignment="1">
      <alignment horizontal="center"/>
    </xf>
    <xf numFmtId="165" fontId="15" fillId="3" borderId="4" xfId="0" applyNumberFormat="1" applyFont="1" applyFill="1" applyBorder="1" applyAlignment="1">
      <alignment horizontal="center" wrapText="1"/>
    </xf>
    <xf numFmtId="10" fontId="15" fillId="5" borderId="23" xfId="2" applyNumberFormat="1" applyFont="1" applyFill="1" applyBorder="1" applyAlignment="1">
      <alignment horizontal="center" vertical="center"/>
    </xf>
    <xf numFmtId="0" fontId="15" fillId="5" borderId="24" xfId="0" applyFont="1" applyFill="1" applyBorder="1" applyAlignment="1">
      <alignment horizontal="center" vertical="center"/>
    </xf>
    <xf numFmtId="165" fontId="15" fillId="5" borderId="4" xfId="0" applyNumberFormat="1" applyFont="1" applyFill="1" applyBorder="1" applyAlignment="1">
      <alignment horizontal="left" wrapText="1"/>
    </xf>
    <xf numFmtId="166" fontId="15" fillId="5" borderId="24" xfId="0" applyNumberFormat="1" applyFont="1" applyFill="1" applyBorder="1" applyAlignment="1">
      <alignment horizontal="center" vertical="center"/>
    </xf>
    <xf numFmtId="0" fontId="0" fillId="0" borderId="0" xfId="0" applyAlignment="1">
      <alignment vertical="center"/>
    </xf>
    <xf numFmtId="9" fontId="0" fillId="0" borderId="0" xfId="0" applyNumberFormat="1" applyAlignment="1">
      <alignment vertical="center"/>
    </xf>
    <xf numFmtId="164" fontId="0" fillId="0" borderId="0" xfId="5" applyFont="1" applyAlignment="1">
      <alignment vertical="center"/>
    </xf>
    <xf numFmtId="0" fontId="11" fillId="0" borderId="0" xfId="0" applyFont="1" applyAlignment="1">
      <alignment vertical="center"/>
    </xf>
    <xf numFmtId="164" fontId="11" fillId="0" borderId="0" xfId="5" applyFont="1" applyAlignment="1">
      <alignment vertical="center"/>
    </xf>
    <xf numFmtId="169" fontId="19" fillId="0" borderId="0" xfId="5"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vertical="center"/>
    </xf>
    <xf numFmtId="43" fontId="0" fillId="0" borderId="0" xfId="3" applyFont="1"/>
    <xf numFmtId="43" fontId="17" fillId="0" borderId="0" xfId="3" applyFont="1" applyBorder="1"/>
    <xf numFmtId="0" fontId="8" fillId="0" borderId="12" xfId="0" applyFont="1" applyBorder="1"/>
    <xf numFmtId="2" fontId="6" fillId="4" borderId="7" xfId="0" applyNumberFormat="1" applyFont="1" applyFill="1" applyBorder="1" applyAlignment="1">
      <alignment horizontal="center"/>
    </xf>
    <xf numFmtId="2" fontId="6" fillId="4" borderId="8" xfId="0" applyNumberFormat="1" applyFont="1" applyFill="1" applyBorder="1" applyAlignment="1">
      <alignment horizontal="center"/>
    </xf>
    <xf numFmtId="165" fontId="6" fillId="3" borderId="8" xfId="0" applyNumberFormat="1" applyFont="1" applyFill="1" applyBorder="1" applyAlignment="1">
      <alignment horizontal="center"/>
    </xf>
    <xf numFmtId="0" fontId="6" fillId="0" borderId="1" xfId="0" applyFont="1" applyBorder="1" applyAlignment="1">
      <alignment horizontal="right"/>
    </xf>
    <xf numFmtId="3" fontId="15" fillId="3" borderId="20" xfId="0" applyNumberFormat="1" applyFont="1" applyFill="1" applyBorder="1" applyAlignment="1">
      <alignment horizontal="center" wrapText="1"/>
    </xf>
    <xf numFmtId="3" fontId="15" fillId="5" borderId="11" xfId="0" applyNumberFormat="1" applyFont="1" applyFill="1" applyBorder="1" applyAlignment="1">
      <alignment horizontal="center" vertical="center"/>
    </xf>
    <xf numFmtId="3" fontId="15" fillId="5" borderId="20" xfId="0" applyNumberFormat="1" applyFont="1" applyFill="1" applyBorder="1" applyAlignment="1">
      <alignment horizontal="center" vertical="center" wrapText="1"/>
    </xf>
    <xf numFmtId="3" fontId="15" fillId="5" borderId="20" xfId="0" applyNumberFormat="1" applyFont="1" applyFill="1" applyBorder="1" applyAlignment="1">
      <alignment horizontal="center" wrapText="1"/>
    </xf>
    <xf numFmtId="3" fontId="18" fillId="3" borderId="11" xfId="0" applyNumberFormat="1" applyFont="1" applyFill="1" applyBorder="1" applyAlignment="1">
      <alignment horizontal="right"/>
    </xf>
    <xf numFmtId="3" fontId="18" fillId="3" borderId="20" xfId="0" applyNumberFormat="1" applyFont="1" applyFill="1" applyBorder="1" applyAlignment="1">
      <alignment horizontal="center" wrapText="1"/>
    </xf>
    <xf numFmtId="3" fontId="5" fillId="3" borderId="11" xfId="0" applyNumberFormat="1" applyFont="1" applyFill="1" applyBorder="1" applyAlignment="1">
      <alignment horizontal="center" vertical="center"/>
    </xf>
    <xf numFmtId="3" fontId="6" fillId="3" borderId="20" xfId="0" applyNumberFormat="1" applyFont="1" applyFill="1" applyBorder="1" applyAlignment="1">
      <alignment horizontal="center" vertical="center" wrapText="1"/>
    </xf>
    <xf numFmtId="3" fontId="6" fillId="3" borderId="11" xfId="0" applyNumberFormat="1" applyFont="1" applyFill="1" applyBorder="1" applyAlignment="1">
      <alignment horizontal="right"/>
    </xf>
    <xf numFmtId="3" fontId="6" fillId="3" borderId="20" xfId="0" applyNumberFormat="1" applyFont="1" applyFill="1" applyBorder="1" applyAlignment="1">
      <alignment horizontal="center" wrapText="1"/>
    </xf>
    <xf numFmtId="3" fontId="6" fillId="3" borderId="20" xfId="0" applyNumberFormat="1" applyFont="1" applyFill="1" applyBorder="1" applyAlignment="1">
      <alignment horizontal="left" vertical="center" wrapText="1"/>
    </xf>
    <xf numFmtId="3" fontId="5" fillId="3" borderId="11" xfId="0" applyNumberFormat="1" applyFont="1" applyFill="1" applyBorder="1" applyAlignment="1">
      <alignment horizontal="center"/>
    </xf>
    <xf numFmtId="3" fontId="15" fillId="3" borderId="11" xfId="0" applyNumberFormat="1" applyFont="1" applyFill="1" applyBorder="1" applyAlignment="1">
      <alignment horizontal="center" vertical="center" wrapText="1"/>
    </xf>
    <xf numFmtId="3" fontId="18" fillId="3" borderId="20"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3" fontId="6" fillId="5" borderId="20" xfId="0" applyNumberFormat="1" applyFont="1" applyFill="1" applyBorder="1" applyAlignment="1">
      <alignment horizontal="center" wrapText="1"/>
    </xf>
    <xf numFmtId="3" fontId="18" fillId="5" borderId="20" xfId="0" applyNumberFormat="1" applyFont="1" applyFill="1" applyBorder="1" applyAlignment="1">
      <alignment horizontal="center" vertical="center" wrapText="1"/>
    </xf>
    <xf numFmtId="3" fontId="6" fillId="3" borderId="11" xfId="0" applyNumberFormat="1" applyFont="1" applyFill="1" applyBorder="1" applyAlignment="1">
      <alignment horizontal="center"/>
    </xf>
    <xf numFmtId="3" fontId="6" fillId="3" borderId="20" xfId="3" applyNumberFormat="1" applyFont="1" applyFill="1" applyBorder="1" applyAlignment="1">
      <alignment horizontal="center" wrapText="1"/>
    </xf>
    <xf numFmtId="3" fontId="5" fillId="3" borderId="20" xfId="0" applyNumberFormat="1" applyFont="1" applyFill="1" applyBorder="1" applyAlignment="1">
      <alignment horizontal="center" wrapText="1"/>
    </xf>
    <xf numFmtId="3" fontId="6" fillId="3" borderId="10" xfId="0" applyNumberFormat="1" applyFont="1" applyFill="1" applyBorder="1" applyAlignment="1">
      <alignment horizontal="center"/>
    </xf>
    <xf numFmtId="0" fontId="6" fillId="0" borderId="13" xfId="0" applyFont="1" applyBorder="1"/>
    <xf numFmtId="0" fontId="0" fillId="0" borderId="13" xfId="0" applyBorder="1"/>
    <xf numFmtId="17" fontId="0" fillId="0" borderId="13" xfId="0" applyNumberFormat="1" applyBorder="1"/>
    <xf numFmtId="0" fontId="6" fillId="0" borderId="13" xfId="0" applyFont="1" applyBorder="1" applyAlignment="1">
      <alignment horizontal="right"/>
    </xf>
    <xf numFmtId="0" fontId="5" fillId="0" borderId="13" xfId="0" applyFont="1" applyBorder="1" applyAlignment="1">
      <alignment horizontal="right"/>
    </xf>
    <xf numFmtId="17" fontId="5" fillId="0" borderId="13" xfId="0" applyNumberFormat="1" applyFont="1" applyBorder="1"/>
    <xf numFmtId="3" fontId="0" fillId="3" borderId="24" xfId="0" applyNumberFormat="1" applyFill="1" applyBorder="1" applyAlignment="1">
      <alignment vertical="center"/>
    </xf>
    <xf numFmtId="3" fontId="0" fillId="3" borderId="24" xfId="0" applyNumberFormat="1" applyFill="1" applyBorder="1"/>
    <xf numFmtId="165" fontId="6" fillId="3" borderId="1" xfId="3" applyNumberFormat="1" applyFont="1" applyFill="1" applyBorder="1" applyAlignment="1">
      <alignment horizontal="center" wrapText="1"/>
    </xf>
    <xf numFmtId="170" fontId="8" fillId="0" borderId="5" xfId="3" applyNumberFormat="1" applyFont="1" applyBorder="1"/>
    <xf numFmtId="0" fontId="5" fillId="0" borderId="0" xfId="0" applyFont="1" applyAlignment="1">
      <alignment vertical="center"/>
    </xf>
    <xf numFmtId="0" fontId="5" fillId="0" borderId="4" xfId="0" applyFont="1" applyBorder="1" applyAlignment="1">
      <alignment wrapText="1"/>
    </xf>
    <xf numFmtId="0" fontId="5" fillId="0" borderId="0" xfId="0" applyFont="1"/>
    <xf numFmtId="0" fontId="5" fillId="0" borderId="36" xfId="0" applyFont="1" applyBorder="1"/>
    <xf numFmtId="0" fontId="0" fillId="0" borderId="36" xfId="0" applyBorder="1"/>
    <xf numFmtId="0" fontId="5" fillId="0" borderId="0" xfId="0" applyFont="1" applyAlignment="1">
      <alignment wrapText="1"/>
    </xf>
    <xf numFmtId="0" fontId="0" fillId="0" borderId="0" xfId="0" applyAlignment="1">
      <alignment wrapText="1"/>
    </xf>
    <xf numFmtId="0" fontId="5" fillId="0" borderId="36" xfId="0" applyFont="1" applyBorder="1" applyAlignment="1">
      <alignment wrapText="1"/>
    </xf>
    <xf numFmtId="0" fontId="9" fillId="2" borderId="12" xfId="0" applyFont="1" applyFill="1" applyBorder="1" applyAlignment="1">
      <alignment horizontal="center" vertical="center" wrapText="1"/>
    </xf>
    <xf numFmtId="0" fontId="5" fillId="0" borderId="13" xfId="0" applyFont="1" applyBorder="1"/>
    <xf numFmtId="3" fontId="0" fillId="0" borderId="13" xfId="0" applyNumberFormat="1" applyBorder="1"/>
    <xf numFmtId="3" fontId="6" fillId="0" borderId="13" xfId="0" applyNumberFormat="1" applyFont="1" applyBorder="1"/>
    <xf numFmtId="0" fontId="11" fillId="0" borderId="0" xfId="0" applyFont="1"/>
    <xf numFmtId="0" fontId="15" fillId="0" borderId="4" xfId="0" applyFont="1" applyBorder="1" applyAlignment="1">
      <alignment vertical="center"/>
    </xf>
    <xf numFmtId="165" fontId="15" fillId="0" borderId="0" xfId="0" applyNumberFormat="1" applyFont="1" applyAlignment="1">
      <alignment horizontal="left" vertical="center" wrapText="1"/>
    </xf>
    <xf numFmtId="4" fontId="15" fillId="5" borderId="23" xfId="0" applyNumberFormat="1" applyFont="1" applyFill="1" applyBorder="1" applyAlignment="1">
      <alignment horizontal="center" vertical="center" wrapText="1"/>
    </xf>
    <xf numFmtId="3" fontId="11" fillId="5" borderId="24"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3" fontId="15" fillId="5" borderId="11" xfId="0" applyNumberFormat="1" applyFont="1" applyFill="1" applyBorder="1" applyAlignment="1">
      <alignment horizontal="center" vertical="center" wrapText="1"/>
    </xf>
    <xf numFmtId="4" fontId="5" fillId="3" borderId="23" xfId="0" applyNumberFormat="1" applyFont="1" applyFill="1" applyBorder="1" applyAlignment="1">
      <alignment horizontal="center" vertical="center"/>
    </xf>
    <xf numFmtId="3" fontId="15" fillId="3" borderId="11" xfId="0" applyNumberFormat="1" applyFont="1" applyFill="1" applyBorder="1" applyAlignment="1">
      <alignment horizontal="center" vertical="center"/>
    </xf>
    <xf numFmtId="3" fontId="5" fillId="3" borderId="24" xfId="0" applyNumberFormat="1" applyFont="1" applyFill="1" applyBorder="1" applyAlignment="1">
      <alignment horizontal="center" vertical="center"/>
    </xf>
    <xf numFmtId="4" fontId="5" fillId="3" borderId="23" xfId="0" applyNumberFormat="1" applyFont="1" applyFill="1" applyBorder="1" applyAlignment="1">
      <alignment horizontal="center" vertical="center" wrapText="1"/>
    </xf>
    <xf numFmtId="3" fontId="5" fillId="3" borderId="24" xfId="0" applyNumberFormat="1" applyFont="1" applyFill="1" applyBorder="1" applyAlignment="1">
      <alignment horizontal="center" vertical="center" wrapText="1"/>
    </xf>
    <xf numFmtId="171" fontId="5" fillId="3" borderId="24" xfId="0" applyNumberFormat="1" applyFont="1" applyFill="1" applyBorder="1" applyAlignment="1">
      <alignment horizontal="center" vertical="center" wrapText="1"/>
    </xf>
    <xf numFmtId="3" fontId="15" fillId="5" borderId="24" xfId="0" applyNumberFormat="1" applyFont="1" applyFill="1" applyBorder="1" applyAlignment="1">
      <alignment horizontal="center" vertical="center"/>
    </xf>
    <xf numFmtId="0" fontId="8" fillId="0" borderId="0" xfId="0" applyFont="1"/>
    <xf numFmtId="0" fontId="21" fillId="0" borderId="0" xfId="0" applyFont="1"/>
    <xf numFmtId="3" fontId="21" fillId="0" borderId="0" xfId="0" applyNumberFormat="1" applyFont="1"/>
    <xf numFmtId="0" fontId="8" fillId="0" borderId="13" xfId="0" applyFont="1" applyBorder="1"/>
    <xf numFmtId="0" fontId="21" fillId="0" borderId="13" xfId="0" applyFont="1" applyBorder="1"/>
    <xf numFmtId="3" fontId="21" fillId="0" borderId="13" xfId="0" applyNumberFormat="1" applyFont="1" applyBorder="1"/>
    <xf numFmtId="0" fontId="21" fillId="0" borderId="13" xfId="0" applyFont="1" applyBorder="1" applyAlignment="1">
      <alignment vertical="center"/>
    </xf>
    <xf numFmtId="0" fontId="21" fillId="0" borderId="13" xfId="0" applyFont="1" applyBorder="1" applyAlignment="1">
      <alignment vertical="center" wrapText="1"/>
    </xf>
    <xf numFmtId="3" fontId="0" fillId="0" borderId="0" xfId="0" applyNumberFormat="1" applyAlignment="1">
      <alignment vertical="center"/>
    </xf>
    <xf numFmtId="0" fontId="8" fillId="8" borderId="13" xfId="0" applyFont="1" applyFill="1" applyBorder="1"/>
    <xf numFmtId="3" fontId="8" fillId="8" borderId="13" xfId="0" applyNumberFormat="1" applyFont="1" applyFill="1" applyBorder="1"/>
    <xf numFmtId="10" fontId="8" fillId="8" borderId="13" xfId="0" applyNumberFormat="1" applyFont="1" applyFill="1" applyBorder="1"/>
    <xf numFmtId="0" fontId="8" fillId="9" borderId="13" xfId="0" applyFont="1" applyFill="1" applyBorder="1"/>
    <xf numFmtId="3" fontId="8" fillId="9" borderId="13" xfId="0" applyNumberFormat="1" applyFont="1" applyFill="1" applyBorder="1"/>
    <xf numFmtId="165" fontId="13" fillId="3" borderId="42" xfId="1" applyNumberFormat="1" applyFont="1" applyFill="1" applyBorder="1" applyAlignment="1" applyProtection="1">
      <alignment horizontal="center" wrapText="1"/>
    </xf>
    <xf numFmtId="165" fontId="5" fillId="3" borderId="17" xfId="0" applyNumberFormat="1" applyFont="1" applyFill="1" applyBorder="1" applyAlignment="1">
      <alignment horizontal="center" wrapText="1"/>
    </xf>
    <xf numFmtId="166" fontId="5" fillId="3" borderId="24" xfId="0" applyNumberFormat="1" applyFont="1" applyFill="1" applyBorder="1" applyAlignment="1">
      <alignment horizontal="center" vertical="center"/>
    </xf>
    <xf numFmtId="0" fontId="5" fillId="3" borderId="24" xfId="0" applyFont="1" applyFill="1" applyBorder="1" applyAlignment="1">
      <alignment horizontal="center" vertical="center"/>
    </xf>
    <xf numFmtId="4" fontId="5" fillId="3" borderId="23" xfId="0" applyNumberFormat="1" applyFont="1" applyFill="1" applyBorder="1" applyAlignment="1">
      <alignment horizontal="center"/>
    </xf>
    <xf numFmtId="166" fontId="5" fillId="3" borderId="24" xfId="0" applyNumberFormat="1" applyFont="1" applyFill="1" applyBorder="1" applyAlignment="1">
      <alignment horizontal="center"/>
    </xf>
    <xf numFmtId="0" fontId="5" fillId="3" borderId="24" xfId="0" applyFont="1" applyFill="1" applyBorder="1" applyAlignment="1">
      <alignment horizontal="center"/>
    </xf>
    <xf numFmtId="165" fontId="5" fillId="3" borderId="4" xfId="0" applyNumberFormat="1" applyFont="1" applyFill="1" applyBorder="1" applyAlignment="1">
      <alignment horizontal="center" wrapText="1"/>
    </xf>
    <xf numFmtId="4" fontId="5" fillId="5" borderId="23" xfId="0" applyNumberFormat="1" applyFont="1" applyFill="1" applyBorder="1" applyAlignment="1">
      <alignment horizontal="center" vertical="center" wrapText="1"/>
    </xf>
    <xf numFmtId="3" fontId="5" fillId="5" borderId="24" xfId="0" applyNumberFormat="1" applyFont="1" applyFill="1" applyBorder="1" applyAlignment="1">
      <alignment horizontal="center" vertical="center" wrapText="1"/>
    </xf>
    <xf numFmtId="0" fontId="5" fillId="5" borderId="24" xfId="0" applyFont="1" applyFill="1" applyBorder="1" applyAlignment="1">
      <alignment horizontal="center" vertical="center" wrapText="1"/>
    </xf>
    <xf numFmtId="3" fontId="5" fillId="5" borderId="11" xfId="0" applyNumberFormat="1" applyFont="1" applyFill="1" applyBorder="1" applyAlignment="1">
      <alignment horizontal="center" vertical="center" wrapText="1"/>
    </xf>
    <xf numFmtId="3" fontId="5" fillId="5" borderId="20" xfId="0" applyNumberFormat="1" applyFont="1" applyFill="1" applyBorder="1" applyAlignment="1">
      <alignment horizontal="center" vertical="center" wrapText="1"/>
    </xf>
    <xf numFmtId="165" fontId="5" fillId="5" borderId="4" xfId="0" applyNumberFormat="1" applyFont="1" applyFill="1" applyBorder="1" applyAlignment="1">
      <alignment horizontal="left" vertical="center" wrapText="1"/>
    </xf>
    <xf numFmtId="1" fontId="5" fillId="3" borderId="24"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7" borderId="4" xfId="0" applyFont="1" applyFill="1" applyBorder="1" applyAlignment="1">
      <alignment vertical="center" wrapText="1"/>
    </xf>
    <xf numFmtId="169" fontId="15" fillId="3" borderId="23" xfId="3" applyNumberFormat="1" applyFont="1" applyFill="1" applyBorder="1" applyAlignment="1">
      <alignment horizontal="center" vertical="center" wrapText="1"/>
    </xf>
    <xf numFmtId="3" fontId="15" fillId="3" borderId="23" xfId="0" applyNumberFormat="1" applyFont="1" applyFill="1" applyBorder="1" applyAlignment="1">
      <alignment horizontal="center" vertical="center" wrapText="1"/>
    </xf>
    <xf numFmtId="3" fontId="0" fillId="0" borderId="0" xfId="0" applyNumberFormat="1"/>
    <xf numFmtId="165" fontId="0" fillId="0" borderId="0" xfId="0" applyNumberFormat="1"/>
    <xf numFmtId="170" fontId="0" fillId="0" borderId="0" xfId="0" applyNumberFormat="1"/>
    <xf numFmtId="43" fontId="5" fillId="0" borderId="0" xfId="3" applyFont="1"/>
    <xf numFmtId="0" fontId="23" fillId="0" borderId="0" xfId="0" applyFont="1" applyAlignment="1">
      <alignment vertical="center"/>
    </xf>
    <xf numFmtId="0" fontId="24" fillId="0" borderId="0" xfId="0" applyFont="1" applyAlignment="1">
      <alignment vertical="center"/>
    </xf>
    <xf numFmtId="0" fontId="6" fillId="0" borderId="18" xfId="0" applyFont="1" applyBorder="1" applyAlignment="1">
      <alignment horizontal="center" vertical="center" textRotation="90"/>
    </xf>
    <xf numFmtId="0" fontId="6" fillId="0" borderId="5" xfId="0" applyFont="1" applyBorder="1" applyAlignment="1">
      <alignment vertical="center"/>
    </xf>
    <xf numFmtId="4" fontId="11" fillId="4" borderId="43" xfId="0" applyNumberFormat="1" applyFont="1" applyFill="1" applyBorder="1" applyAlignment="1">
      <alignment horizontal="center"/>
    </xf>
    <xf numFmtId="166" fontId="11" fillId="4" borderId="44" xfId="0" applyNumberFormat="1" applyFont="1" applyFill="1" applyBorder="1" applyAlignment="1">
      <alignment horizontal="center"/>
    </xf>
    <xf numFmtId="165" fontId="11" fillId="3" borderId="45" xfId="0" applyNumberFormat="1" applyFont="1" applyFill="1" applyBorder="1" applyAlignment="1">
      <alignment horizontal="center"/>
    </xf>
    <xf numFmtId="170" fontId="6" fillId="3" borderId="46" xfId="3" applyNumberFormat="1" applyFont="1" applyFill="1" applyBorder="1" applyAlignment="1">
      <alignment horizontal="center" wrapText="1"/>
    </xf>
    <xf numFmtId="3" fontId="5" fillId="3" borderId="47" xfId="0" applyNumberFormat="1" applyFont="1" applyFill="1" applyBorder="1" applyAlignment="1">
      <alignment horizontal="center" wrapText="1"/>
    </xf>
    <xf numFmtId="0" fontId="7" fillId="0" borderId="7" xfId="0" applyFont="1" applyBorder="1" applyAlignment="1">
      <alignment horizontal="right"/>
    </xf>
    <xf numFmtId="10" fontId="5" fillId="4" borderId="43" xfId="6" applyNumberFormat="1" applyFont="1" applyFill="1" applyBorder="1" applyAlignment="1">
      <alignment horizontal="center"/>
    </xf>
    <xf numFmtId="166" fontId="5" fillId="4" borderId="44" xfId="0" applyNumberFormat="1" applyFont="1" applyFill="1" applyBorder="1" applyAlignment="1">
      <alignment horizontal="center"/>
    </xf>
    <xf numFmtId="0" fontId="5" fillId="4" borderId="44" xfId="0" applyFont="1" applyFill="1" applyBorder="1" applyAlignment="1">
      <alignment horizontal="center"/>
    </xf>
    <xf numFmtId="165" fontId="5" fillId="3" borderId="45" xfId="0" applyNumberFormat="1" applyFont="1" applyFill="1" applyBorder="1" applyAlignment="1">
      <alignment horizontal="center"/>
    </xf>
    <xf numFmtId="165" fontId="5" fillId="3" borderId="9" xfId="0" applyNumberFormat="1" applyFont="1" applyFill="1" applyBorder="1" applyAlignment="1">
      <alignment horizontal="center" vertical="center" wrapText="1"/>
    </xf>
    <xf numFmtId="3" fontId="5" fillId="0" borderId="0" xfId="0" applyNumberFormat="1" applyFont="1" applyAlignment="1">
      <alignment vertical="center"/>
    </xf>
    <xf numFmtId="4" fontId="22" fillId="5" borderId="23" xfId="9" applyNumberFormat="1" applyFill="1" applyBorder="1" applyAlignment="1">
      <alignment horizontal="center" vertical="center"/>
    </xf>
    <xf numFmtId="4" fontId="2" fillId="5" borderId="23" xfId="9" applyNumberFormat="1" applyFont="1" applyFill="1" applyBorder="1" applyAlignment="1">
      <alignment horizontal="center" vertical="center"/>
    </xf>
    <xf numFmtId="168" fontId="15" fillId="0" borderId="13" xfId="3" applyNumberFormat="1" applyFont="1" applyBorder="1" applyAlignment="1">
      <alignment vertical="center" wrapText="1"/>
    </xf>
    <xf numFmtId="0" fontId="15" fillId="3" borderId="24" xfId="0" applyFont="1" applyFill="1" applyBorder="1" applyAlignment="1">
      <alignment horizontal="center" vertical="center"/>
    </xf>
    <xf numFmtId="0" fontId="26" fillId="0" borderId="13" xfId="0" applyFont="1" applyBorder="1"/>
    <xf numFmtId="0" fontId="26" fillId="0" borderId="13" xfId="0" applyFont="1" applyBorder="1" applyAlignment="1">
      <alignment vertical="center"/>
    </xf>
    <xf numFmtId="0" fontId="26" fillId="0" borderId="13" xfId="0" applyFont="1" applyBorder="1" applyAlignment="1">
      <alignment vertical="center" wrapText="1"/>
    </xf>
    <xf numFmtId="0" fontId="26" fillId="0" borderId="13" xfId="0" applyFont="1" applyBorder="1" applyAlignment="1">
      <alignment wrapText="1"/>
    </xf>
    <xf numFmtId="0" fontId="17" fillId="8" borderId="13" xfId="0" applyFont="1" applyFill="1" applyBorder="1"/>
    <xf numFmtId="0" fontId="17" fillId="9" borderId="13" xfId="0" applyFont="1" applyFill="1" applyBorder="1"/>
    <xf numFmtId="3" fontId="26" fillId="0" borderId="13" xfId="0" applyNumberFormat="1" applyFont="1" applyBorder="1"/>
    <xf numFmtId="3" fontId="26" fillId="0" borderId="13" xfId="0" applyNumberFormat="1" applyFont="1" applyBorder="1" applyAlignment="1">
      <alignment vertical="center"/>
    </xf>
    <xf numFmtId="3" fontId="17" fillId="8" borderId="13" xfId="0" applyNumberFormat="1" applyFont="1" applyFill="1" applyBorder="1"/>
    <xf numFmtId="3" fontId="17" fillId="9" borderId="13" xfId="0" applyNumberFormat="1" applyFont="1" applyFill="1" applyBorder="1"/>
    <xf numFmtId="0" fontId="15" fillId="0" borderId="4" xfId="0" applyFont="1" applyBorder="1"/>
    <xf numFmtId="165" fontId="5" fillId="5" borderId="50" xfId="1" applyNumberFormat="1" applyFont="1" applyFill="1" applyBorder="1" applyAlignment="1" applyProtection="1">
      <alignment horizontal="left" vertical="center" wrapText="1"/>
    </xf>
    <xf numFmtId="0" fontId="6" fillId="0" borderId="37" xfId="0" applyFont="1" applyBorder="1" applyAlignment="1">
      <alignment vertical="center"/>
    </xf>
    <xf numFmtId="4" fontId="5" fillId="4" borderId="51" xfId="0" applyNumberFormat="1" applyFont="1" applyFill="1" applyBorder="1" applyAlignment="1">
      <alignment horizontal="center" vertical="center" wrapText="1"/>
    </xf>
    <xf numFmtId="43" fontId="5" fillId="4" borderId="52" xfId="3"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53" xfId="0" applyFont="1" applyFill="1" applyBorder="1" applyAlignment="1">
      <alignment horizontal="center" vertical="center" wrapText="1"/>
    </xf>
    <xf numFmtId="43" fontId="5" fillId="3" borderId="53" xfId="3" applyFont="1" applyFill="1" applyBorder="1" applyAlignment="1">
      <alignment horizontal="center" vertical="center"/>
    </xf>
    <xf numFmtId="170" fontId="6" fillId="3" borderId="54" xfId="3" applyNumberFormat="1" applyFont="1" applyFill="1" applyBorder="1" applyAlignment="1">
      <alignment horizontal="center" vertical="center" wrapText="1"/>
    </xf>
    <xf numFmtId="3" fontId="5" fillId="3" borderId="55" xfId="0" applyNumberFormat="1" applyFont="1" applyFill="1" applyBorder="1" applyAlignment="1">
      <alignment horizontal="center" vertical="center" wrapText="1"/>
    </xf>
    <xf numFmtId="10" fontId="5" fillId="3" borderId="56" xfId="6" applyNumberFormat="1" applyFont="1" applyFill="1" applyBorder="1" applyAlignment="1">
      <alignment horizontal="left" vertical="center" wrapText="1"/>
    </xf>
    <xf numFmtId="164" fontId="5" fillId="0" borderId="0" xfId="5" applyFont="1" applyAlignment="1">
      <alignment vertical="center"/>
    </xf>
    <xf numFmtId="164" fontId="5" fillId="0" borderId="0" xfId="5" applyFont="1" applyAlignment="1">
      <alignment horizontal="center" vertical="center"/>
    </xf>
    <xf numFmtId="0" fontId="5" fillId="0" borderId="37" xfId="0" applyFont="1" applyBorder="1" applyAlignment="1">
      <alignment vertical="center"/>
    </xf>
    <xf numFmtId="4" fontId="5" fillId="4" borderId="51" xfId="0" applyNumberFormat="1" applyFont="1" applyFill="1" applyBorder="1" applyAlignment="1">
      <alignment horizontal="center" vertical="center"/>
    </xf>
    <xf numFmtId="43" fontId="5" fillId="4" borderId="52" xfId="3" applyFont="1" applyFill="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168" fontId="0" fillId="0" borderId="0" xfId="5" applyNumberFormat="1" applyFont="1" applyAlignment="1">
      <alignment vertical="center"/>
    </xf>
    <xf numFmtId="10" fontId="5" fillId="0" borderId="0" xfId="6" applyNumberFormat="1" applyFont="1" applyAlignment="1">
      <alignment horizontal="center" vertical="center"/>
    </xf>
    <xf numFmtId="0" fontId="0" fillId="0" borderId="0" xfId="0" applyAlignment="1">
      <alignment horizontal="center" vertical="center"/>
    </xf>
    <xf numFmtId="4" fontId="5" fillId="4" borderId="43" xfId="0" applyNumberFormat="1" applyFont="1" applyFill="1" applyBorder="1" applyAlignment="1">
      <alignment horizontal="center" vertical="center"/>
    </xf>
    <xf numFmtId="43" fontId="5" fillId="4" borderId="44" xfId="3" applyFont="1" applyFill="1" applyBorder="1" applyAlignment="1">
      <alignment horizontal="center" vertical="center"/>
    </xf>
    <xf numFmtId="0" fontId="5" fillId="4" borderId="44" xfId="0" applyFont="1" applyFill="1" applyBorder="1" applyAlignment="1">
      <alignment horizontal="center" vertical="center"/>
    </xf>
    <xf numFmtId="170" fontId="6" fillId="3" borderId="46" xfId="3" applyNumberFormat="1" applyFont="1" applyFill="1" applyBorder="1" applyAlignment="1">
      <alignment horizontal="center" vertical="center" wrapText="1"/>
    </xf>
    <xf numFmtId="3" fontId="5" fillId="3" borderId="47" xfId="0" applyNumberFormat="1" applyFont="1" applyFill="1" applyBorder="1" applyAlignment="1">
      <alignment horizontal="center" vertical="center" wrapText="1"/>
    </xf>
    <xf numFmtId="10" fontId="5" fillId="4" borderId="43" xfId="6" applyNumberFormat="1" applyFont="1" applyFill="1" applyBorder="1" applyAlignment="1">
      <alignment horizontal="center" vertical="center"/>
    </xf>
    <xf numFmtId="166" fontId="5" fillId="4" borderId="44" xfId="0" applyNumberFormat="1" applyFont="1" applyFill="1" applyBorder="1" applyAlignment="1">
      <alignment horizontal="center" vertical="center"/>
    </xf>
    <xf numFmtId="0" fontId="5" fillId="4" borderId="45" xfId="0" applyFont="1" applyFill="1" applyBorder="1" applyAlignment="1">
      <alignment horizontal="center" vertical="center"/>
    </xf>
    <xf numFmtId="43" fontId="5" fillId="3" borderId="45" xfId="3" applyFont="1" applyFill="1" applyBorder="1" applyAlignment="1">
      <alignment horizontal="center" vertical="center"/>
    </xf>
    <xf numFmtId="0" fontId="6" fillId="8" borderId="37" xfId="0" applyFont="1" applyFill="1" applyBorder="1" applyAlignment="1">
      <alignment vertical="center"/>
    </xf>
    <xf numFmtId="10" fontId="5" fillId="11" borderId="43" xfId="6" applyNumberFormat="1" applyFont="1" applyFill="1" applyBorder="1" applyAlignment="1">
      <alignment horizontal="center" vertical="center"/>
    </xf>
    <xf numFmtId="166" fontId="5" fillId="11" borderId="44" xfId="0" applyNumberFormat="1" applyFont="1" applyFill="1" applyBorder="1" applyAlignment="1">
      <alignment horizontal="center" vertical="center"/>
    </xf>
    <xf numFmtId="0" fontId="5" fillId="11" borderId="44" xfId="0" applyFont="1" applyFill="1" applyBorder="1" applyAlignment="1">
      <alignment horizontal="center" vertical="center"/>
    </xf>
    <xf numFmtId="0" fontId="5" fillId="11" borderId="45" xfId="0" applyFont="1" applyFill="1" applyBorder="1" applyAlignment="1">
      <alignment horizontal="center" vertical="center"/>
    </xf>
    <xf numFmtId="165" fontId="5" fillId="8" borderId="45" xfId="0" applyNumberFormat="1" applyFont="1" applyFill="1" applyBorder="1" applyAlignment="1">
      <alignment horizontal="center" vertical="center"/>
    </xf>
    <xf numFmtId="170" fontId="6" fillId="8" borderId="46" xfId="3" applyNumberFormat="1" applyFont="1" applyFill="1" applyBorder="1" applyAlignment="1">
      <alignment horizontal="center" vertical="center" wrapText="1"/>
    </xf>
    <xf numFmtId="10" fontId="5" fillId="8" borderId="56" xfId="6" applyNumberFormat="1" applyFont="1" applyFill="1" applyBorder="1" applyAlignment="1">
      <alignment horizontal="left" vertical="center" wrapText="1"/>
    </xf>
    <xf numFmtId="164" fontId="5" fillId="0" borderId="0" xfId="5" applyFont="1" applyFill="1" applyAlignment="1">
      <alignment vertical="center"/>
    </xf>
    <xf numFmtId="164" fontId="5" fillId="0" borderId="0" xfId="5" applyFont="1" applyFill="1" applyAlignment="1">
      <alignment horizontal="center" vertical="center"/>
    </xf>
    <xf numFmtId="165" fontId="5" fillId="3" borderId="45" xfId="0" applyNumberFormat="1" applyFont="1" applyFill="1" applyBorder="1" applyAlignment="1">
      <alignment horizontal="center" vertical="center"/>
    </xf>
    <xf numFmtId="10" fontId="5" fillId="0" borderId="0" xfId="5" applyNumberFormat="1" applyFont="1" applyAlignment="1">
      <alignment horizontal="center" vertical="center"/>
    </xf>
    <xf numFmtId="4" fontId="5" fillId="11" borderId="51" xfId="0" applyNumberFormat="1" applyFont="1" applyFill="1" applyBorder="1" applyAlignment="1">
      <alignment horizontal="center" vertical="center"/>
    </xf>
    <xf numFmtId="166" fontId="5" fillId="11" borderId="52" xfId="0" applyNumberFormat="1" applyFont="1" applyFill="1" applyBorder="1" applyAlignment="1">
      <alignment horizontal="center" vertical="center"/>
    </xf>
    <xf numFmtId="0" fontId="5" fillId="11" borderId="52" xfId="0" applyFont="1" applyFill="1" applyBorder="1" applyAlignment="1">
      <alignment horizontal="center" vertical="center"/>
    </xf>
    <xf numFmtId="0" fontId="5" fillId="11" borderId="57" xfId="0" applyFont="1" applyFill="1" applyBorder="1" applyAlignment="1">
      <alignment horizontal="center" vertical="center"/>
    </xf>
    <xf numFmtId="43" fontId="5" fillId="8" borderId="57" xfId="3" applyFont="1" applyFill="1" applyBorder="1" applyAlignment="1">
      <alignment horizontal="center" vertical="center"/>
    </xf>
    <xf numFmtId="170" fontId="6" fillId="8" borderId="54" xfId="3" applyNumberFormat="1" applyFont="1" applyFill="1" applyBorder="1" applyAlignment="1">
      <alignment horizontal="center" vertical="center" wrapText="1"/>
    </xf>
    <xf numFmtId="10" fontId="5" fillId="8" borderId="58" xfId="6" applyNumberFormat="1" applyFont="1" applyFill="1" applyBorder="1" applyAlignment="1">
      <alignment horizontal="left" vertical="center" wrapText="1"/>
    </xf>
    <xf numFmtId="166" fontId="5" fillId="4" borderId="52" xfId="0" applyNumberFormat="1" applyFont="1" applyFill="1" applyBorder="1" applyAlignment="1">
      <alignment horizontal="center" vertical="center"/>
    </xf>
    <xf numFmtId="10" fontId="5" fillId="11" borderId="59" xfId="6" applyNumberFormat="1" applyFont="1" applyFill="1" applyBorder="1" applyAlignment="1">
      <alignment horizontal="center" vertical="center"/>
    </xf>
    <xf numFmtId="166" fontId="5" fillId="11" borderId="60" xfId="0" applyNumberFormat="1" applyFont="1" applyFill="1" applyBorder="1" applyAlignment="1">
      <alignment horizontal="center" vertical="center"/>
    </xf>
    <xf numFmtId="0" fontId="5" fillId="11" borderId="60" xfId="0" applyFont="1" applyFill="1" applyBorder="1" applyAlignment="1">
      <alignment horizontal="center" vertical="center"/>
    </xf>
    <xf numFmtId="0" fontId="5" fillId="11" borderId="61" xfId="0" applyFont="1" applyFill="1" applyBorder="1" applyAlignment="1">
      <alignment horizontal="center" vertical="center"/>
    </xf>
    <xf numFmtId="165" fontId="5" fillId="8" borderId="61" xfId="0" applyNumberFormat="1" applyFont="1" applyFill="1" applyBorder="1" applyAlignment="1">
      <alignment horizontal="center" vertical="center"/>
    </xf>
    <xf numFmtId="170" fontId="6" fillId="8" borderId="62" xfId="3" applyNumberFormat="1" applyFont="1" applyFill="1" applyBorder="1" applyAlignment="1">
      <alignment horizontal="center" vertical="center" wrapText="1"/>
    </xf>
    <xf numFmtId="2" fontId="0" fillId="3" borderId="11" xfId="0" applyNumberFormat="1" applyFill="1" applyBorder="1" applyAlignment="1">
      <alignment horizontal="center"/>
    </xf>
    <xf numFmtId="0" fontId="15" fillId="3" borderId="11" xfId="0" applyFont="1" applyFill="1" applyBorder="1" applyAlignment="1">
      <alignment horizontal="center"/>
    </xf>
    <xf numFmtId="0" fontId="0" fillId="3" borderId="11" xfId="0" applyFill="1" applyBorder="1" applyAlignment="1">
      <alignment horizontal="center" vertical="center"/>
    </xf>
    <xf numFmtId="0" fontId="0" fillId="3" borderId="11" xfId="0" applyFill="1" applyBorder="1" applyAlignment="1">
      <alignment horizontal="center"/>
    </xf>
    <xf numFmtId="0" fontId="0" fillId="3" borderId="11" xfId="0" applyFill="1" applyBorder="1" applyAlignment="1">
      <alignment horizontal="left" vertical="center"/>
    </xf>
    <xf numFmtId="0" fontId="15" fillId="5"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0" fillId="3" borderId="11" xfId="0" applyFill="1" applyBorder="1" applyAlignment="1">
      <alignment horizontal="center" vertical="center" wrapText="1"/>
    </xf>
    <xf numFmtId="166" fontId="0" fillId="3" borderId="11" xfId="0" applyNumberFormat="1" applyFill="1" applyBorder="1" applyAlignment="1">
      <alignment horizontal="center"/>
    </xf>
    <xf numFmtId="0" fontId="11" fillId="3" borderId="11" xfId="0" applyFont="1" applyFill="1" applyBorder="1" applyAlignment="1">
      <alignment horizontal="center"/>
    </xf>
    <xf numFmtId="0" fontId="0" fillId="3" borderId="0" xfId="0" applyFill="1" applyAlignment="1">
      <alignment horizontal="center"/>
    </xf>
    <xf numFmtId="0" fontId="0" fillId="3" borderId="9" xfId="0" applyFill="1" applyBorder="1" applyAlignment="1">
      <alignment horizontal="center" vertical="center" wrapText="1"/>
    </xf>
    <xf numFmtId="0" fontId="0" fillId="3" borderId="9" xfId="0" applyFill="1" applyBorder="1" applyAlignment="1">
      <alignment horizontal="center"/>
    </xf>
    <xf numFmtId="0" fontId="15" fillId="3" borderId="11" xfId="0" applyFont="1" applyFill="1" applyBorder="1" applyAlignment="1">
      <alignment horizontal="center" vertical="center"/>
    </xf>
    <xf numFmtId="10" fontId="5" fillId="4" borderId="43" xfId="2" applyNumberFormat="1" applyFont="1" applyFill="1" applyBorder="1" applyAlignment="1">
      <alignment horizontal="center" vertical="center"/>
    </xf>
    <xf numFmtId="2" fontId="0" fillId="3" borderId="11" xfId="0" applyNumberFormat="1" applyFill="1" applyBorder="1" applyAlignment="1">
      <alignment horizontal="center" vertical="center" wrapText="1"/>
    </xf>
    <xf numFmtId="169" fontId="0" fillId="0" borderId="0" xfId="3" applyNumberFormat="1" applyFont="1"/>
    <xf numFmtId="10" fontId="26" fillId="0" borderId="13" xfId="0" applyNumberFormat="1" applyFont="1" applyBorder="1"/>
    <xf numFmtId="169" fontId="0" fillId="0" borderId="13" xfId="3" applyNumberFormat="1" applyFont="1" applyBorder="1"/>
    <xf numFmtId="169" fontId="5" fillId="5" borderId="13" xfId="3" applyNumberFormat="1" applyFont="1" applyFill="1" applyBorder="1"/>
    <xf numFmtId="10" fontId="0" fillId="5" borderId="13" xfId="2" applyNumberFormat="1" applyFont="1" applyFill="1" applyBorder="1"/>
    <xf numFmtId="169" fontId="6" fillId="12" borderId="13" xfId="3" applyNumberFormat="1" applyFont="1" applyFill="1" applyBorder="1"/>
    <xf numFmtId="169" fontId="0" fillId="13" borderId="13" xfId="3" applyNumberFormat="1" applyFont="1" applyFill="1" applyBorder="1" applyAlignment="1">
      <alignment vertical="center"/>
    </xf>
    <xf numFmtId="4" fontId="5" fillId="4" borderId="43" xfId="0" applyNumberFormat="1" applyFont="1" applyFill="1" applyBorder="1" applyAlignment="1">
      <alignment horizontal="center"/>
    </xf>
    <xf numFmtId="0" fontId="5" fillId="0" borderId="37" xfId="0" applyFont="1" applyBorder="1" applyAlignment="1">
      <alignment vertical="center" wrapText="1"/>
    </xf>
    <xf numFmtId="43" fontId="6" fillId="0" borderId="0" xfId="3" applyFont="1"/>
    <xf numFmtId="10" fontId="5" fillId="5" borderId="23" xfId="6" applyNumberFormat="1" applyFont="1" applyFill="1" applyBorder="1" applyAlignment="1">
      <alignment horizontal="center" vertical="center"/>
    </xf>
    <xf numFmtId="0" fontId="6" fillId="0" borderId="7" xfId="0" applyFont="1" applyBorder="1" applyAlignment="1">
      <alignment vertical="center"/>
    </xf>
    <xf numFmtId="4" fontId="5" fillId="4" borderId="64" xfId="0" applyNumberFormat="1" applyFont="1" applyFill="1" applyBorder="1" applyAlignment="1">
      <alignment horizontal="center" vertical="center" wrapText="1"/>
    </xf>
    <xf numFmtId="43" fontId="5" fillId="4" borderId="65" xfId="3"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43" fontId="5" fillId="3" borderId="66" xfId="3" applyFont="1" applyFill="1" applyBorder="1" applyAlignment="1">
      <alignment horizontal="center" vertical="center"/>
    </xf>
    <xf numFmtId="170" fontId="6" fillId="3" borderId="67" xfId="3" applyNumberFormat="1" applyFont="1" applyFill="1" applyBorder="1" applyAlignment="1">
      <alignment horizontal="center" vertical="center" wrapText="1"/>
    </xf>
    <xf numFmtId="3" fontId="5" fillId="3" borderId="68" xfId="0" applyNumberFormat="1" applyFont="1" applyFill="1" applyBorder="1" applyAlignment="1">
      <alignment horizontal="center" vertical="center" wrapText="1"/>
    </xf>
    <xf numFmtId="10" fontId="5" fillId="3" borderId="69" xfId="6" applyNumberFormat="1" applyFont="1" applyFill="1" applyBorder="1" applyAlignment="1">
      <alignment horizontal="left" vertical="center" wrapText="1"/>
    </xf>
    <xf numFmtId="0" fontId="30" fillId="0" borderId="70" xfId="10" applyFont="1" applyBorder="1" applyAlignment="1">
      <alignment vertical="center" wrapText="1"/>
    </xf>
    <xf numFmtId="0" fontId="3" fillId="5" borderId="71" xfId="10" applyFill="1" applyBorder="1" applyAlignment="1">
      <alignment vertical="center" wrapText="1"/>
    </xf>
    <xf numFmtId="10" fontId="5" fillId="8" borderId="72" xfId="6" applyNumberFormat="1" applyFont="1" applyFill="1" applyBorder="1" applyAlignment="1">
      <alignment horizontal="left" vertical="center" wrapText="1"/>
    </xf>
    <xf numFmtId="0" fontId="7" fillId="0" borderId="12" xfId="0" applyFont="1" applyBorder="1" applyAlignment="1">
      <alignment horizontal="right"/>
    </xf>
    <xf numFmtId="10" fontId="6" fillId="4" borderId="73" xfId="6" applyNumberFormat="1" applyFont="1" applyFill="1" applyBorder="1" applyAlignment="1">
      <alignment horizontal="center"/>
    </xf>
    <xf numFmtId="166" fontId="6" fillId="4" borderId="74" xfId="0" applyNumberFormat="1" applyFont="1" applyFill="1" applyBorder="1" applyAlignment="1">
      <alignment horizontal="center"/>
    </xf>
    <xf numFmtId="0" fontId="6" fillId="4" borderId="74" xfId="0" applyFont="1" applyFill="1" applyBorder="1" applyAlignment="1">
      <alignment horizontal="center"/>
    </xf>
    <xf numFmtId="165" fontId="6" fillId="3" borderId="75" xfId="0" applyNumberFormat="1" applyFont="1" applyFill="1" applyBorder="1" applyAlignment="1">
      <alignment horizontal="center"/>
    </xf>
    <xf numFmtId="170" fontId="6" fillId="3" borderId="76" xfId="3" applyNumberFormat="1" applyFont="1" applyFill="1" applyBorder="1" applyAlignment="1">
      <alignment horizontal="center" wrapText="1"/>
    </xf>
    <xf numFmtId="0" fontId="5" fillId="3" borderId="11" xfId="0" applyFont="1" applyFill="1" applyBorder="1" applyAlignment="1">
      <alignment horizontal="center" vertical="center"/>
    </xf>
    <xf numFmtId="0" fontId="5" fillId="3" borderId="11" xfId="0" applyFont="1" applyFill="1" applyBorder="1" applyAlignment="1">
      <alignment horizontal="center"/>
    </xf>
    <xf numFmtId="0" fontId="25" fillId="0" borderId="70" xfId="10" applyFont="1" applyBorder="1" applyAlignment="1">
      <alignment vertical="center" wrapText="1"/>
    </xf>
    <xf numFmtId="0" fontId="7" fillId="8" borderId="0" xfId="0" applyFont="1" applyFill="1" applyAlignment="1">
      <alignment horizontal="right" vertical="center"/>
    </xf>
    <xf numFmtId="4" fontId="15" fillId="5" borderId="11" xfId="0" applyNumberFormat="1" applyFont="1" applyFill="1" applyBorder="1" applyAlignment="1">
      <alignment horizontal="center" vertical="center"/>
    </xf>
    <xf numFmtId="168" fontId="5" fillId="0" borderId="0" xfId="5" applyNumberFormat="1"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5" xfId="0" applyFont="1" applyBorder="1"/>
    <xf numFmtId="0" fontId="0" fillId="0" borderId="0" xfId="0" applyAlignment="1">
      <alignment horizontal="right"/>
    </xf>
    <xf numFmtId="164" fontId="0" fillId="0" borderId="0" xfId="0" applyNumberFormat="1"/>
    <xf numFmtId="9" fontId="0" fillId="0" borderId="13" xfId="2" applyFont="1" applyBorder="1"/>
    <xf numFmtId="9" fontId="6" fillId="12" borderId="13" xfId="2" applyFont="1" applyFill="1" applyBorder="1"/>
    <xf numFmtId="9" fontId="0" fillId="5" borderId="13" xfId="2" applyFont="1" applyFill="1" applyBorder="1"/>
    <xf numFmtId="9" fontId="0" fillId="8" borderId="13" xfId="6" applyFont="1" applyFill="1" applyBorder="1"/>
    <xf numFmtId="9" fontId="0" fillId="8" borderId="13" xfId="2" applyFont="1" applyFill="1" applyBorder="1"/>
    <xf numFmtId="0" fontId="6" fillId="13" borderId="13" xfId="0" applyFont="1" applyFill="1" applyBorder="1" applyAlignment="1">
      <alignment horizontal="center" vertical="center"/>
    </xf>
    <xf numFmtId="0" fontId="0" fillId="0" borderId="13" xfId="0" applyBorder="1" applyAlignment="1">
      <alignment vertical="center"/>
    </xf>
    <xf numFmtId="10" fontId="0" fillId="0" borderId="13" xfId="6" applyNumberFormat="1" applyFont="1" applyBorder="1" applyAlignment="1">
      <alignment vertical="center"/>
    </xf>
    <xf numFmtId="0" fontId="6" fillId="0" borderId="13" xfId="0" applyFont="1" applyBorder="1" applyAlignment="1">
      <alignment vertical="center"/>
    </xf>
    <xf numFmtId="10" fontId="6" fillId="0" borderId="13" xfId="0" applyNumberFormat="1" applyFont="1" applyBorder="1" applyAlignment="1">
      <alignment vertical="center"/>
    </xf>
    <xf numFmtId="3" fontId="6" fillId="0" borderId="0" xfId="0" applyNumberFormat="1" applyFont="1"/>
    <xf numFmtId="169" fontId="6" fillId="0" borderId="0" xfId="3" applyNumberFormat="1" applyFont="1"/>
    <xf numFmtId="169" fontId="5" fillId="0" borderId="0" xfId="3" applyNumberFormat="1" applyFont="1"/>
    <xf numFmtId="10" fontId="0" fillId="0" borderId="0" xfId="6" applyNumberFormat="1" applyFont="1"/>
    <xf numFmtId="10" fontId="0" fillId="0" borderId="0" xfId="0" applyNumberFormat="1"/>
    <xf numFmtId="10" fontId="0" fillId="8" borderId="0" xfId="6" applyNumberFormat="1" applyFont="1" applyFill="1"/>
    <xf numFmtId="169" fontId="0" fillId="8" borderId="0" xfId="3" applyNumberFormat="1" applyFont="1" applyFill="1"/>
    <xf numFmtId="169" fontId="0" fillId="12" borderId="0" xfId="3" applyNumberFormat="1" applyFont="1" applyFill="1"/>
    <xf numFmtId="10" fontId="0" fillId="12" borderId="0" xfId="6" applyNumberFormat="1" applyFont="1" applyFill="1"/>
    <xf numFmtId="10" fontId="0" fillId="12" borderId="0" xfId="0" applyNumberFormat="1" applyFill="1"/>
    <xf numFmtId="0" fontId="6" fillId="14" borderId="0" xfId="0" applyFont="1" applyFill="1"/>
    <xf numFmtId="164" fontId="6" fillId="14" borderId="0" xfId="0" applyNumberFormat="1" applyFont="1" applyFill="1"/>
    <xf numFmtId="4" fontId="30" fillId="5" borderId="23" xfId="9" applyNumberFormat="1"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43" fontId="5" fillId="3" borderId="24" xfId="3" applyFont="1" applyFill="1" applyBorder="1" applyAlignment="1">
      <alignment horizontal="center" vertical="center" wrapText="1"/>
    </xf>
    <xf numFmtId="4" fontId="30" fillId="5" borderId="23" xfId="9" applyNumberFormat="1" applyFont="1" applyFill="1" applyBorder="1" applyAlignment="1">
      <alignment horizontal="center"/>
    </xf>
    <xf numFmtId="3" fontId="5" fillId="5" borderId="24" xfId="0" applyNumberFormat="1" applyFont="1" applyFill="1" applyBorder="1" applyAlignment="1">
      <alignment horizontal="center"/>
    </xf>
    <xf numFmtId="43" fontId="5" fillId="5" borderId="24" xfId="3" applyFont="1" applyFill="1" applyBorder="1" applyAlignment="1">
      <alignment horizontal="center"/>
    </xf>
    <xf numFmtId="0" fontId="5" fillId="5" borderId="24" xfId="0" applyFont="1" applyFill="1" applyBorder="1" applyAlignment="1">
      <alignment horizontal="center"/>
    </xf>
    <xf numFmtId="43" fontId="5" fillId="5" borderId="24" xfId="3" applyFont="1" applyFill="1" applyBorder="1" applyAlignment="1">
      <alignment horizontal="center" vertical="center" wrapText="1"/>
    </xf>
    <xf numFmtId="4" fontId="5" fillId="4" borderId="80" xfId="0" applyNumberFormat="1" applyFont="1" applyFill="1" applyBorder="1" applyAlignment="1">
      <alignment horizontal="center" vertical="center"/>
    </xf>
    <xf numFmtId="164" fontId="0" fillId="0" borderId="81" xfId="5" applyFont="1" applyBorder="1" applyAlignment="1">
      <alignment vertical="center"/>
    </xf>
    <xf numFmtId="0" fontId="5" fillId="5" borderId="2" xfId="0" applyFont="1" applyFill="1" applyBorder="1" applyAlignment="1">
      <alignment vertical="top" wrapText="1"/>
    </xf>
    <xf numFmtId="1" fontId="5" fillId="3" borderId="24" xfId="0" applyNumberFormat="1" applyFont="1" applyFill="1" applyBorder="1" applyAlignment="1">
      <alignment horizontal="center" vertical="center"/>
    </xf>
    <xf numFmtId="1" fontId="5" fillId="3" borderId="24" xfId="0" applyNumberFormat="1" applyFont="1" applyFill="1" applyBorder="1" applyAlignment="1">
      <alignment horizontal="center"/>
    </xf>
    <xf numFmtId="3" fontId="0" fillId="3" borderId="24" xfId="0" applyNumberFormat="1" applyFill="1" applyBorder="1" applyAlignment="1">
      <alignment horizontal="center"/>
    </xf>
    <xf numFmtId="1" fontId="0" fillId="3" borderId="16" xfId="0" applyNumberFormat="1" applyFill="1" applyBorder="1" applyAlignment="1">
      <alignment horizontal="center" vertical="center" wrapText="1"/>
    </xf>
    <xf numFmtId="165" fontId="13" fillId="3" borderId="20" xfId="1" applyNumberFormat="1" applyFont="1" applyFill="1" applyBorder="1" applyAlignment="1" applyProtection="1">
      <alignment horizontal="center" vertical="center" wrapText="1"/>
    </xf>
    <xf numFmtId="4" fontId="30" fillId="5" borderId="23" xfId="9" applyNumberFormat="1" applyFont="1" applyFill="1" applyBorder="1" applyAlignment="1">
      <alignment horizontal="center" vertical="center"/>
    </xf>
    <xf numFmtId="1" fontId="15" fillId="3" borderId="24" xfId="0" applyNumberFormat="1" applyFont="1" applyFill="1" applyBorder="1" applyAlignment="1">
      <alignment horizontal="center" vertical="center"/>
    </xf>
    <xf numFmtId="1" fontId="11" fillId="3" borderId="24" xfId="0" applyNumberFormat="1" applyFont="1" applyFill="1" applyBorder="1" applyAlignment="1">
      <alignment horizontal="center" vertical="center"/>
    </xf>
    <xf numFmtId="0" fontId="11" fillId="0" borderId="0" xfId="0" applyFont="1" applyAlignment="1">
      <alignment vertical="center" wrapText="1"/>
    </xf>
    <xf numFmtId="165" fontId="11" fillId="3" borderId="4" xfId="0" applyNumberFormat="1" applyFont="1" applyFill="1" applyBorder="1" applyAlignment="1">
      <alignment horizontal="left" vertical="center" wrapText="1"/>
    </xf>
    <xf numFmtId="43" fontId="5" fillId="0" borderId="0" xfId="0" applyNumberFormat="1" applyFont="1" applyAlignment="1">
      <alignment vertical="center"/>
    </xf>
    <xf numFmtId="165" fontId="0" fillId="0" borderId="0" xfId="0" applyNumberFormat="1" applyAlignment="1">
      <alignment vertical="center"/>
    </xf>
    <xf numFmtId="172" fontId="0" fillId="0" borderId="0" xfId="0" applyNumberFormat="1" applyAlignment="1">
      <alignment vertical="center"/>
    </xf>
    <xf numFmtId="3" fontId="11" fillId="3" borderId="11" xfId="0" applyNumberFormat="1" applyFont="1" applyFill="1" applyBorder="1" applyAlignment="1">
      <alignment horizontal="center" vertical="center"/>
    </xf>
    <xf numFmtId="2" fontId="5" fillId="4" borderId="44" xfId="0" applyNumberFormat="1" applyFont="1" applyFill="1" applyBorder="1" applyAlignment="1">
      <alignment horizontal="center" vertical="center"/>
    </xf>
    <xf numFmtId="9" fontId="12" fillId="3" borderId="20" xfId="2" applyFont="1" applyFill="1" applyBorder="1" applyAlignment="1" applyProtection="1">
      <alignment horizontal="center" vertical="center" wrapText="1"/>
    </xf>
    <xf numFmtId="43" fontId="0" fillId="3" borderId="24" xfId="3" applyFont="1" applyFill="1" applyBorder="1" applyAlignment="1">
      <alignment horizontal="center" vertical="center" wrapText="1"/>
    </xf>
    <xf numFmtId="165" fontId="31" fillId="3" borderId="11" xfId="0" applyNumberFormat="1" applyFont="1" applyFill="1" applyBorder="1" applyAlignment="1">
      <alignment horizontal="center" wrapText="1"/>
    </xf>
    <xf numFmtId="165" fontId="31" fillId="3" borderId="0" xfId="0" applyNumberFormat="1" applyFont="1" applyFill="1" applyAlignment="1">
      <alignment horizontal="center" wrapText="1"/>
    </xf>
    <xf numFmtId="165" fontId="31" fillId="8" borderId="47" xfId="0" applyNumberFormat="1" applyFont="1" applyFill="1" applyBorder="1" applyAlignment="1">
      <alignment horizontal="center" vertical="center" wrapText="1"/>
    </xf>
    <xf numFmtId="3" fontId="32" fillId="0" borderId="5" xfId="0" applyNumberFormat="1" applyFont="1" applyBorder="1" applyAlignment="1">
      <alignment horizontal="center"/>
    </xf>
    <xf numFmtId="165" fontId="31" fillId="15" borderId="5" xfId="0" applyNumberFormat="1" applyFont="1" applyFill="1" applyBorder="1" applyAlignment="1">
      <alignment horizontal="center" wrapText="1"/>
    </xf>
    <xf numFmtId="3" fontId="31" fillId="2" borderId="6" xfId="0" applyNumberFormat="1" applyFont="1" applyFill="1" applyBorder="1" applyAlignment="1">
      <alignment horizontal="center" vertical="center" wrapText="1"/>
    </xf>
    <xf numFmtId="3" fontId="3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165" fontId="5" fillId="3" borderId="45" xfId="3" applyNumberFormat="1" applyFont="1" applyFill="1" applyBorder="1" applyAlignment="1">
      <alignment horizontal="center" vertical="center"/>
    </xf>
    <xf numFmtId="3" fontId="5" fillId="5" borderId="11" xfId="0" applyNumberFormat="1" applyFont="1" applyFill="1" applyBorder="1" applyAlignment="1">
      <alignment horizontal="center"/>
    </xf>
    <xf numFmtId="0" fontId="5" fillId="2" borderId="6" xfId="0" applyFont="1" applyFill="1" applyBorder="1" applyAlignment="1">
      <alignment horizontal="center" vertical="center" wrapText="1"/>
    </xf>
    <xf numFmtId="165" fontId="14" fillId="3" borderId="32" xfId="1" applyNumberFormat="1" applyFont="1" applyFill="1" applyBorder="1" applyAlignment="1" applyProtection="1">
      <alignment horizontal="center" wrapText="1"/>
    </xf>
    <xf numFmtId="0" fontId="5" fillId="2" borderId="8" xfId="0" applyFont="1" applyFill="1" applyBorder="1" applyAlignment="1">
      <alignment horizontal="center" vertical="center" wrapText="1"/>
    </xf>
    <xf numFmtId="0" fontId="5" fillId="2" borderId="29" xfId="0" applyFont="1" applyFill="1" applyBorder="1" applyAlignment="1">
      <alignment horizontal="center" vertical="center" wrapText="1"/>
    </xf>
    <xf numFmtId="3" fontId="15" fillId="5" borderId="4" xfId="0" applyNumberFormat="1" applyFont="1" applyFill="1" applyBorder="1" applyAlignment="1">
      <alignment horizontal="center" wrapText="1"/>
    </xf>
    <xf numFmtId="3" fontId="5" fillId="5" borderId="4" xfId="0" applyNumberFormat="1" applyFont="1" applyFill="1" applyBorder="1" applyAlignment="1">
      <alignment horizontal="center" vertical="center" wrapText="1"/>
    </xf>
    <xf numFmtId="3" fontId="15" fillId="5" borderId="4" xfId="0" applyNumberFormat="1" applyFont="1" applyFill="1" applyBorder="1" applyAlignment="1">
      <alignment horizontal="center" vertical="center" wrapText="1"/>
    </xf>
    <xf numFmtId="3" fontId="5" fillId="3" borderId="17" xfId="0" applyNumberFormat="1" applyFont="1" applyFill="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vertical="center" wrapText="1"/>
    </xf>
    <xf numFmtId="0" fontId="5" fillId="0" borderId="6" xfId="0" applyFont="1" applyBorder="1" applyAlignment="1">
      <alignment horizontal="center" vertical="center"/>
    </xf>
    <xf numFmtId="170" fontId="5" fillId="3" borderId="68" xfId="3" applyNumberFormat="1" applyFont="1" applyFill="1" applyBorder="1" applyAlignment="1">
      <alignment horizontal="center" vertical="center" wrapText="1"/>
    </xf>
    <xf numFmtId="170" fontId="5" fillId="3" borderId="55" xfId="3" applyNumberFormat="1" applyFont="1" applyFill="1" applyBorder="1" applyAlignment="1">
      <alignment horizontal="center" vertical="center" wrapText="1"/>
    </xf>
    <xf numFmtId="170" fontId="5" fillId="3" borderId="47" xfId="3" applyNumberFormat="1" applyFont="1" applyFill="1" applyBorder="1" applyAlignment="1">
      <alignment horizontal="center" vertical="center" wrapText="1"/>
    </xf>
    <xf numFmtId="170" fontId="5" fillId="8" borderId="47" xfId="3" applyNumberFormat="1" applyFont="1" applyFill="1" applyBorder="1" applyAlignment="1">
      <alignment horizontal="center" vertical="center" wrapText="1"/>
    </xf>
    <xf numFmtId="170" fontId="5" fillId="8" borderId="55" xfId="3" applyNumberFormat="1" applyFont="1" applyFill="1" applyBorder="1" applyAlignment="1">
      <alignment horizontal="center" vertical="center" wrapText="1"/>
    </xf>
    <xf numFmtId="170" fontId="5" fillId="3" borderId="47" xfId="3" applyNumberFormat="1" applyFont="1" applyFill="1" applyBorder="1" applyAlignment="1">
      <alignment horizontal="center" wrapText="1"/>
    </xf>
    <xf numFmtId="170" fontId="5" fillId="8" borderId="63" xfId="3" applyNumberFormat="1" applyFont="1" applyFill="1" applyBorder="1" applyAlignment="1">
      <alignment horizontal="center" vertical="center" wrapText="1"/>
    </xf>
    <xf numFmtId="165" fontId="12" fillId="3" borderId="42" xfId="1" applyNumberFormat="1" applyFill="1" applyBorder="1" applyAlignment="1" applyProtection="1">
      <alignment horizontal="center" wrapText="1"/>
    </xf>
    <xf numFmtId="3" fontId="15" fillId="3" borderId="4" xfId="0" applyNumberFormat="1" applyFont="1" applyFill="1" applyBorder="1" applyAlignment="1">
      <alignment horizontal="center" wrapText="1"/>
    </xf>
    <xf numFmtId="3" fontId="5" fillId="3" borderId="4" xfId="0" applyNumberFormat="1" applyFont="1" applyFill="1" applyBorder="1" applyAlignment="1">
      <alignment horizontal="center" vertical="center" wrapText="1"/>
    </xf>
    <xf numFmtId="3" fontId="5" fillId="3" borderId="4" xfId="0" applyNumberFormat="1" applyFont="1" applyFill="1" applyBorder="1" applyAlignment="1">
      <alignment horizontal="center" wrapText="1"/>
    </xf>
    <xf numFmtId="3" fontId="5" fillId="5" borderId="4" xfId="0" applyNumberFormat="1" applyFont="1" applyFill="1" applyBorder="1" applyAlignment="1">
      <alignment horizontal="center" wrapText="1"/>
    </xf>
    <xf numFmtId="3" fontId="5" fillId="3" borderId="4" xfId="3" applyNumberFormat="1" applyFont="1" applyFill="1" applyBorder="1" applyAlignment="1">
      <alignment horizontal="center" wrapText="1"/>
    </xf>
    <xf numFmtId="3" fontId="5" fillId="3" borderId="10" xfId="0" applyNumberFormat="1" applyFont="1" applyFill="1" applyBorder="1" applyAlignment="1">
      <alignment horizontal="center"/>
    </xf>
    <xf numFmtId="165" fontId="12" fillId="3" borderId="32" xfId="1" applyNumberFormat="1" applyFill="1" applyBorder="1" applyAlignment="1" applyProtection="1">
      <alignment horizontal="center" wrapText="1"/>
    </xf>
    <xf numFmtId="165" fontId="5" fillId="3" borderId="32" xfId="0" applyNumberFormat="1" applyFont="1" applyFill="1" applyBorder="1" applyAlignment="1">
      <alignment horizontal="center" wrapText="1"/>
    </xf>
    <xf numFmtId="165" fontId="5" fillId="3" borderId="26" xfId="0" applyNumberFormat="1" applyFont="1" applyFill="1" applyBorder="1" applyAlignment="1">
      <alignment horizontal="center" wrapText="1"/>
    </xf>
    <xf numFmtId="165" fontId="5" fillId="3" borderId="10" xfId="0" applyNumberFormat="1" applyFont="1" applyFill="1" applyBorder="1" applyAlignment="1">
      <alignment horizontal="center"/>
    </xf>
    <xf numFmtId="170" fontId="21" fillId="0" borderId="5" xfId="3" applyNumberFormat="1" applyFont="1" applyBorder="1" applyAlignment="1">
      <alignment horizontal="center"/>
    </xf>
    <xf numFmtId="43" fontId="5" fillId="0" borderId="0" xfId="3" applyFont="1" applyAlignment="1">
      <alignment horizontal="center"/>
    </xf>
    <xf numFmtId="43" fontId="26" fillId="0" borderId="0" xfId="3" applyFont="1" applyBorder="1" applyAlignment="1">
      <alignment horizontal="center"/>
    </xf>
    <xf numFmtId="0" fontId="5" fillId="0" borderId="0" xfId="0" applyFont="1" applyAlignment="1">
      <alignment horizontal="center"/>
    </xf>
    <xf numFmtId="0" fontId="5" fillId="13" borderId="0" xfId="0" applyFont="1" applyFill="1" applyAlignment="1">
      <alignment horizontal="center" vertical="center"/>
    </xf>
    <xf numFmtId="10" fontId="5" fillId="0" borderId="0" xfId="6" applyNumberFormat="1" applyFont="1" applyBorder="1" applyAlignment="1">
      <alignment horizontal="center" vertical="center"/>
    </xf>
    <xf numFmtId="10" fontId="5" fillId="0" borderId="0" xfId="0" applyNumberFormat="1" applyFont="1" applyAlignment="1">
      <alignment horizontal="center" vertical="center"/>
    </xf>
    <xf numFmtId="3" fontId="5" fillId="0" borderId="0" xfId="0" applyNumberFormat="1" applyFont="1" applyAlignment="1">
      <alignment horizontal="center"/>
    </xf>
    <xf numFmtId="3" fontId="5" fillId="0" borderId="6" xfId="0" applyNumberFormat="1" applyFont="1" applyBorder="1" applyAlignment="1">
      <alignment horizontal="center" vertical="center"/>
    </xf>
    <xf numFmtId="3" fontId="5" fillId="3" borderId="68" xfId="3" applyNumberFormat="1" applyFont="1" applyFill="1" applyBorder="1" applyAlignment="1">
      <alignment horizontal="center" vertical="center" wrapText="1"/>
    </xf>
    <xf numFmtId="3" fontId="5" fillId="3" borderId="55" xfId="3" applyNumberFormat="1" applyFont="1" applyFill="1" applyBorder="1" applyAlignment="1">
      <alignment horizontal="center" vertical="center" wrapText="1"/>
    </xf>
    <xf numFmtId="3" fontId="5" fillId="3" borderId="47" xfId="3" applyNumberFormat="1" applyFont="1" applyFill="1" applyBorder="1" applyAlignment="1">
      <alignment horizontal="center" vertical="center" wrapText="1"/>
    </xf>
    <xf numFmtId="3" fontId="5" fillId="8" borderId="47" xfId="3" applyNumberFormat="1" applyFont="1" applyFill="1" applyBorder="1" applyAlignment="1">
      <alignment horizontal="center" vertical="center" wrapText="1"/>
    </xf>
    <xf numFmtId="3" fontId="5" fillId="8" borderId="55" xfId="3" applyNumberFormat="1" applyFont="1" applyFill="1" applyBorder="1" applyAlignment="1">
      <alignment horizontal="center" vertical="center" wrapText="1"/>
    </xf>
    <xf numFmtId="3" fontId="5" fillId="3" borderId="47" xfId="3" applyNumberFormat="1" applyFont="1" applyFill="1" applyBorder="1" applyAlignment="1">
      <alignment horizontal="center" wrapText="1"/>
    </xf>
    <xf numFmtId="3" fontId="5" fillId="8" borderId="63" xfId="3" applyNumberFormat="1" applyFont="1" applyFill="1" applyBorder="1" applyAlignment="1">
      <alignment horizontal="center" vertical="center" wrapText="1"/>
    </xf>
    <xf numFmtId="3" fontId="5" fillId="3" borderId="77" xfId="3" applyNumberFormat="1" applyFont="1" applyFill="1" applyBorder="1" applyAlignment="1">
      <alignment horizontal="center" wrapText="1"/>
    </xf>
    <xf numFmtId="3" fontId="12" fillId="3" borderId="42" xfId="1" applyNumberFormat="1" applyFill="1" applyBorder="1" applyAlignment="1" applyProtection="1">
      <alignment horizontal="center" wrapText="1"/>
    </xf>
    <xf numFmtId="3" fontId="12" fillId="3" borderId="4" xfId="2" applyNumberFormat="1" applyFont="1" applyFill="1" applyBorder="1" applyAlignment="1" applyProtection="1">
      <alignment horizontal="center" vertical="center" wrapText="1"/>
    </xf>
    <xf numFmtId="3" fontId="5" fillId="2" borderId="8" xfId="0" applyNumberFormat="1" applyFont="1" applyFill="1" applyBorder="1" applyAlignment="1">
      <alignment horizontal="center" vertical="center" wrapText="1"/>
    </xf>
    <xf numFmtId="3" fontId="5" fillId="2" borderId="29" xfId="0" applyNumberFormat="1" applyFont="1" applyFill="1" applyBorder="1" applyAlignment="1">
      <alignment horizontal="center" vertical="center" wrapText="1"/>
    </xf>
    <xf numFmtId="3" fontId="5" fillId="5" borderId="32" xfId="0" applyNumberFormat="1" applyFont="1" applyFill="1" applyBorder="1" applyAlignment="1">
      <alignment horizontal="center" wrapText="1"/>
    </xf>
    <xf numFmtId="3" fontId="5" fillId="3" borderId="26" xfId="3" applyNumberFormat="1" applyFont="1" applyFill="1" applyBorder="1" applyAlignment="1">
      <alignment horizontal="center" wrapText="1"/>
    </xf>
    <xf numFmtId="3" fontId="21" fillId="0" borderId="5" xfId="3" applyNumberFormat="1" applyFont="1" applyBorder="1" applyAlignment="1">
      <alignment horizontal="center"/>
    </xf>
    <xf numFmtId="3" fontId="5" fillId="0" borderId="0" xfId="3" applyNumberFormat="1" applyFont="1" applyAlignment="1">
      <alignment horizontal="center"/>
    </xf>
    <xf numFmtId="3" fontId="26" fillId="0" borderId="0" xfId="3" applyNumberFormat="1" applyFont="1" applyBorder="1" applyAlignment="1">
      <alignment horizontal="center"/>
    </xf>
    <xf numFmtId="3" fontId="21" fillId="0" borderId="0" xfId="0" applyNumberFormat="1" applyFont="1" applyAlignment="1">
      <alignment horizontal="center"/>
    </xf>
    <xf numFmtId="3" fontId="21" fillId="0" borderId="13" xfId="0" applyNumberFormat="1" applyFont="1" applyBorder="1" applyAlignment="1">
      <alignment horizontal="center"/>
    </xf>
    <xf numFmtId="3" fontId="21" fillId="8" borderId="13" xfId="0" applyNumberFormat="1" applyFont="1" applyFill="1" applyBorder="1" applyAlignment="1">
      <alignment horizontal="center"/>
    </xf>
    <xf numFmtId="3" fontId="21" fillId="9" borderId="13" xfId="0" applyNumberFormat="1" applyFont="1" applyFill="1" applyBorder="1" applyAlignment="1">
      <alignment horizontal="center"/>
    </xf>
    <xf numFmtId="3" fontId="5" fillId="14" borderId="0" xfId="0" applyNumberFormat="1" applyFont="1" applyFill="1" applyAlignment="1">
      <alignment horizontal="center"/>
    </xf>
    <xf numFmtId="3" fontId="5" fillId="13" borderId="0" xfId="0" applyNumberFormat="1" applyFont="1" applyFill="1" applyAlignment="1">
      <alignment horizontal="center" vertical="center"/>
    </xf>
    <xf numFmtId="3" fontId="5" fillId="0" borderId="0" xfId="6" applyNumberFormat="1" applyFont="1" applyBorder="1" applyAlignment="1">
      <alignment horizontal="center" vertical="center"/>
    </xf>
    <xf numFmtId="3" fontId="5" fillId="0" borderId="0" xfId="0" applyNumberFormat="1" applyFont="1" applyAlignment="1">
      <alignment horizontal="center" vertical="center"/>
    </xf>
    <xf numFmtId="165" fontId="5" fillId="3" borderId="4" xfId="0" applyNumberFormat="1" applyFont="1" applyFill="1" applyBorder="1" applyAlignment="1">
      <alignment horizontal="center" vertical="center" wrapText="1"/>
    </xf>
    <xf numFmtId="3" fontId="31" fillId="15" borderId="77" xfId="0" applyNumberFormat="1" applyFont="1" applyFill="1" applyBorder="1" applyAlignment="1">
      <alignment horizontal="center" wrapText="1"/>
    </xf>
    <xf numFmtId="10" fontId="31" fillId="3" borderId="78" xfId="6" applyNumberFormat="1" applyFont="1" applyFill="1" applyBorder="1" applyAlignment="1">
      <alignment horizontal="left" vertical="center" wrapText="1"/>
    </xf>
    <xf numFmtId="165" fontId="13" fillId="3" borderId="4" xfId="1" applyNumberFormat="1" applyFont="1" applyFill="1" applyBorder="1" applyAlignment="1" applyProtection="1">
      <alignment horizontal="center" vertical="center" wrapText="1"/>
    </xf>
    <xf numFmtId="170" fontId="5" fillId="3" borderId="29" xfId="3" applyNumberFormat="1" applyFont="1" applyFill="1" applyBorder="1" applyAlignment="1">
      <alignment horizontal="center" wrapText="1"/>
    </xf>
    <xf numFmtId="3" fontId="15" fillId="3" borderId="4" xfId="0" applyNumberFormat="1" applyFont="1" applyFill="1" applyBorder="1" applyAlignment="1">
      <alignment horizontal="center" vertical="center" wrapText="1"/>
    </xf>
    <xf numFmtId="165" fontId="5" fillId="3" borderId="1" xfId="3" applyNumberFormat="1" applyFont="1" applyFill="1" applyBorder="1" applyAlignment="1">
      <alignment horizontal="center" wrapText="1"/>
    </xf>
    <xf numFmtId="0" fontId="5" fillId="5" borderId="11" xfId="0" applyFont="1" applyFill="1" applyBorder="1" applyAlignment="1">
      <alignment horizontal="center" wrapText="1"/>
    </xf>
    <xf numFmtId="170" fontId="5" fillId="3" borderId="49" xfId="3" applyNumberFormat="1" applyFont="1" applyFill="1" applyBorder="1" applyAlignment="1">
      <alignment horizontal="center" wrapText="1"/>
    </xf>
    <xf numFmtId="0" fontId="5" fillId="5" borderId="82" xfId="0" applyFont="1" applyFill="1" applyBorder="1" applyAlignment="1">
      <alignment wrapText="1"/>
    </xf>
    <xf numFmtId="0" fontId="5" fillId="5" borderId="82" xfId="0" applyFont="1" applyFill="1" applyBorder="1" applyAlignment="1">
      <alignment vertical="center" wrapText="1"/>
    </xf>
    <xf numFmtId="0" fontId="5" fillId="5" borderId="17" xfId="0" applyFont="1" applyFill="1" applyBorder="1" applyAlignment="1">
      <alignment horizontal="center" wrapText="1"/>
    </xf>
    <xf numFmtId="3" fontId="5" fillId="5" borderId="32" xfId="0" applyNumberFormat="1" applyFont="1" applyFill="1" applyBorder="1" applyAlignment="1">
      <alignment wrapText="1"/>
    </xf>
    <xf numFmtId="3" fontId="31" fillId="2" borderId="26" xfId="0" applyNumberFormat="1" applyFont="1" applyFill="1" applyBorder="1" applyAlignment="1">
      <alignment horizontal="center" vertical="center" wrapText="1"/>
    </xf>
    <xf numFmtId="0" fontId="5" fillId="5" borderId="42" xfId="0" applyFont="1" applyFill="1" applyBorder="1" applyAlignment="1">
      <alignment horizontal="center" wrapText="1"/>
    </xf>
    <xf numFmtId="165" fontId="5" fillId="3" borderId="5" xfId="0" applyNumberFormat="1" applyFont="1" applyFill="1" applyBorder="1" applyAlignment="1">
      <alignment horizontal="center"/>
    </xf>
    <xf numFmtId="3" fontId="5" fillId="5" borderId="32"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10" fontId="5" fillId="4" borderId="59" xfId="6" applyNumberFormat="1" applyFont="1" applyFill="1" applyBorder="1" applyAlignment="1">
      <alignment horizontal="center"/>
    </xf>
    <xf numFmtId="166" fontId="5" fillId="4" borderId="60" xfId="0" applyNumberFormat="1" applyFont="1" applyFill="1" applyBorder="1" applyAlignment="1">
      <alignment horizontal="center"/>
    </xf>
    <xf numFmtId="0" fontId="5" fillId="4" borderId="60" xfId="0" applyFont="1" applyFill="1" applyBorder="1" applyAlignment="1">
      <alignment horizontal="center"/>
    </xf>
    <xf numFmtId="165" fontId="5" fillId="3" borderId="61" xfId="0" applyNumberFormat="1" applyFont="1" applyFill="1" applyBorder="1" applyAlignment="1">
      <alignment horizontal="center"/>
    </xf>
    <xf numFmtId="170" fontId="6" fillId="3" borderId="62" xfId="3" applyNumberFormat="1" applyFont="1" applyFill="1" applyBorder="1" applyAlignment="1">
      <alignment horizontal="center" wrapText="1"/>
    </xf>
    <xf numFmtId="3" fontId="5" fillId="3" borderId="63" xfId="0" applyNumberFormat="1" applyFont="1" applyFill="1" applyBorder="1" applyAlignment="1">
      <alignment horizontal="center" wrapText="1"/>
    </xf>
    <xf numFmtId="10" fontId="5" fillId="3" borderId="72" xfId="6" applyNumberFormat="1" applyFont="1" applyFill="1" applyBorder="1" applyAlignment="1">
      <alignment horizontal="left" vertical="center" wrapText="1"/>
    </xf>
    <xf numFmtId="3" fontId="5" fillId="3" borderId="11" xfId="0" applyNumberFormat="1" applyFont="1" applyFill="1" applyBorder="1" applyAlignment="1">
      <alignment horizontal="center" wrapText="1"/>
    </xf>
    <xf numFmtId="3" fontId="5" fillId="3" borderId="0" xfId="0" applyNumberFormat="1" applyFont="1" applyFill="1" applyAlignment="1">
      <alignment horizontal="center" wrapText="1"/>
    </xf>
    <xf numFmtId="3" fontId="5" fillId="5" borderId="4" xfId="0" applyNumberFormat="1" applyFont="1" applyFill="1" applyBorder="1" applyAlignment="1">
      <alignment vertical="center" wrapText="1"/>
    </xf>
    <xf numFmtId="3" fontId="5" fillId="5" borderId="32" xfId="0" applyNumberFormat="1" applyFont="1" applyFill="1" applyBorder="1" applyAlignment="1">
      <alignment vertical="center" wrapText="1"/>
    </xf>
    <xf numFmtId="3" fontId="5" fillId="3" borderId="32" xfId="0" applyNumberFormat="1" applyFont="1" applyFill="1" applyBorder="1" applyAlignment="1">
      <alignment horizontal="center" vertical="center" wrapText="1"/>
    </xf>
    <xf numFmtId="3" fontId="5" fillId="0" borderId="5" xfId="0" applyNumberFormat="1" applyFont="1" applyBorder="1"/>
    <xf numFmtId="3" fontId="15" fillId="3" borderId="11" xfId="0" applyNumberFormat="1" applyFont="1" applyFill="1" applyBorder="1" applyAlignment="1">
      <alignment horizontal="center" wrapText="1"/>
    </xf>
    <xf numFmtId="10" fontId="15" fillId="3" borderId="24" xfId="6" applyNumberFormat="1" applyFont="1" applyFill="1" applyBorder="1" applyAlignment="1">
      <alignment horizontal="center"/>
    </xf>
    <xf numFmtId="4" fontId="5" fillId="16" borderId="43" xfId="0" applyNumberFormat="1" applyFont="1" applyFill="1" applyBorder="1" applyAlignment="1">
      <alignment horizontal="center" vertical="center"/>
    </xf>
    <xf numFmtId="0" fontId="5" fillId="0" borderId="0" xfId="0" applyFont="1" applyAlignment="1">
      <alignment horizontal="right"/>
    </xf>
    <xf numFmtId="43" fontId="15" fillId="3" borderId="11" xfId="3" applyFont="1" applyFill="1" applyBorder="1" applyAlignment="1">
      <alignment horizontal="center"/>
    </xf>
    <xf numFmtId="43" fontId="11" fillId="0" borderId="0" xfId="3" applyFont="1" applyAlignment="1">
      <alignment horizontal="center"/>
    </xf>
    <xf numFmtId="4" fontId="5" fillId="3" borderId="15" xfId="0" applyNumberFormat="1" applyFont="1" applyFill="1" applyBorder="1" applyAlignment="1">
      <alignment horizontal="center" wrapText="1"/>
    </xf>
    <xf numFmtId="2" fontId="5" fillId="3" borderId="16" xfId="0" applyNumberFormat="1" applyFont="1" applyFill="1" applyBorder="1" applyAlignment="1">
      <alignment horizontal="center" wrapText="1"/>
    </xf>
    <xf numFmtId="2" fontId="5" fillId="3" borderId="11" xfId="0" applyNumberFormat="1" applyFont="1" applyFill="1" applyBorder="1" applyAlignment="1">
      <alignment horizontal="center" wrapText="1"/>
    </xf>
    <xf numFmtId="0" fontId="6" fillId="0" borderId="18" xfId="0" applyFont="1" applyBorder="1" applyAlignment="1">
      <alignment horizontal="center" vertical="center" textRotation="90"/>
    </xf>
    <xf numFmtId="10" fontId="6" fillId="4" borderId="84" xfId="6" applyNumberFormat="1" applyFont="1" applyFill="1" applyBorder="1" applyAlignment="1">
      <alignment horizontal="center"/>
    </xf>
    <xf numFmtId="166" fontId="6" fillId="4" borderId="85" xfId="0" applyNumberFormat="1" applyFont="1" applyFill="1" applyBorder="1" applyAlignment="1">
      <alignment horizontal="center"/>
    </xf>
    <xf numFmtId="0" fontId="6" fillId="4" borderId="85" xfId="0" applyFont="1" applyFill="1" applyBorder="1" applyAlignment="1">
      <alignment horizontal="center"/>
    </xf>
    <xf numFmtId="170" fontId="6" fillId="3" borderId="86" xfId="3" applyNumberFormat="1" applyFont="1" applyFill="1" applyBorder="1" applyAlignment="1">
      <alignment horizontal="center" wrapText="1"/>
    </xf>
    <xf numFmtId="165" fontId="15" fillId="5" borderId="83" xfId="0" applyNumberFormat="1" applyFont="1" applyFill="1" applyBorder="1" applyAlignment="1">
      <alignment horizontal="left" wrapText="1"/>
    </xf>
    <xf numFmtId="43" fontId="5" fillId="4" borderId="87" xfId="3" applyFont="1" applyFill="1" applyBorder="1" applyAlignment="1">
      <alignment horizontal="center" vertical="center"/>
    </xf>
    <xf numFmtId="43" fontId="5" fillId="4" borderId="48" xfId="3" applyFont="1" applyFill="1" applyBorder="1" applyAlignment="1">
      <alignment horizontal="center" vertical="center"/>
    </xf>
    <xf numFmtId="3" fontId="5" fillId="3" borderId="36" xfId="0" applyNumberFormat="1" applyFont="1" applyFill="1" applyBorder="1" applyAlignment="1">
      <alignment horizontal="center" vertical="center"/>
    </xf>
    <xf numFmtId="165" fontId="13" fillId="3" borderId="88" xfId="1" applyNumberFormat="1" applyFont="1" applyFill="1" applyBorder="1" applyAlignment="1" applyProtection="1">
      <alignment horizontal="center" vertical="center" wrapText="1"/>
    </xf>
    <xf numFmtId="3" fontId="15" fillId="5" borderId="83" xfId="0" applyNumberFormat="1" applyFont="1" applyFill="1" applyBorder="1" applyAlignment="1">
      <alignment horizontal="center" vertical="center" wrapText="1"/>
    </xf>
    <xf numFmtId="165" fontId="11" fillId="0" borderId="37" xfId="0" applyNumberFormat="1" applyFont="1" applyBorder="1" applyAlignment="1">
      <alignment horizontal="left" vertical="center" wrapText="1"/>
    </xf>
    <xf numFmtId="0" fontId="0" fillId="0" borderId="0" xfId="0" applyAlignment="1">
      <alignment vertical="center" wrapText="1"/>
    </xf>
    <xf numFmtId="0" fontId="21" fillId="0" borderId="38"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21" fillId="0" borderId="41" xfId="0" applyFont="1" applyBorder="1" applyAlignment="1">
      <alignment vertical="center" wrapText="1"/>
    </xf>
    <xf numFmtId="0" fontId="21" fillId="0" borderId="39" xfId="0" applyFont="1" applyBorder="1" applyAlignment="1">
      <alignment vertical="center" wrapText="1"/>
    </xf>
    <xf numFmtId="0" fontId="21" fillId="0" borderId="40" xfId="0" applyFont="1" applyBorder="1" applyAlignment="1">
      <alignment vertical="center" wrapText="1"/>
    </xf>
    <xf numFmtId="0" fontId="0" fillId="0" borderId="35"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21" fillId="0" borderId="38" xfId="0" applyFont="1"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6" fillId="6" borderId="18" xfId="0" applyFont="1" applyFill="1" applyBorder="1" applyAlignment="1">
      <alignment horizontal="center" vertical="center" textRotation="90"/>
    </xf>
    <xf numFmtId="0" fontId="6" fillId="2" borderId="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6" fillId="0" borderId="1" xfId="0" applyFont="1" applyBorder="1" applyAlignment="1">
      <alignment horizontal="center" vertical="center" textRotation="90"/>
    </xf>
    <xf numFmtId="0" fontId="6" fillId="0" borderId="18" xfId="0" applyFont="1" applyBorder="1" applyAlignment="1">
      <alignment horizontal="center" vertical="center" textRotation="90"/>
    </xf>
    <xf numFmtId="0" fontId="6" fillId="2" borderId="1" xfId="0" applyFont="1" applyFill="1" applyBorder="1" applyAlignment="1">
      <alignment horizontal="center" vertical="center" textRotation="90" wrapText="1"/>
    </xf>
    <xf numFmtId="0" fontId="6" fillId="2" borderId="17" xfId="0" applyFont="1" applyFill="1" applyBorder="1" applyAlignment="1">
      <alignment horizontal="center" vertical="center" textRotation="90"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10" fillId="2" borderId="5" xfId="0" applyFont="1" applyFill="1" applyBorder="1" applyAlignment="1">
      <alignment horizontal="center" vertical="center"/>
    </xf>
    <xf numFmtId="0" fontId="8" fillId="0" borderId="5" xfId="0" applyFont="1" applyBorder="1" applyAlignment="1">
      <alignment horizontal="right" vertical="center"/>
    </xf>
    <xf numFmtId="0" fontId="6" fillId="2" borderId="1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17" xfId="0" applyFont="1" applyBorder="1" applyAlignment="1">
      <alignment horizontal="center" vertical="center" textRotation="90"/>
    </xf>
    <xf numFmtId="0" fontId="6" fillId="0" borderId="12"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169" fontId="6" fillId="13" borderId="79" xfId="3" applyNumberFormat="1" applyFont="1" applyFill="1" applyBorder="1" applyAlignment="1">
      <alignment horizontal="center" vertical="center"/>
    </xf>
    <xf numFmtId="169" fontId="6" fillId="13" borderId="36" xfId="3" applyNumberFormat="1" applyFont="1" applyFill="1" applyBorder="1" applyAlignment="1">
      <alignment horizontal="center" vertical="center"/>
    </xf>
    <xf numFmtId="169" fontId="6" fillId="13" borderId="38" xfId="3" applyNumberFormat="1" applyFont="1" applyFill="1" applyBorder="1" applyAlignment="1">
      <alignment horizontal="center" vertical="center"/>
    </xf>
    <xf numFmtId="169" fontId="6" fillId="13" borderId="40" xfId="3" applyNumberFormat="1" applyFont="1" applyFill="1" applyBorder="1" applyAlignment="1">
      <alignment horizontal="center" vertical="center"/>
    </xf>
  </cellXfs>
  <cellStyles count="13">
    <cellStyle name="Comma" xfId="3" builtinId="3"/>
    <cellStyle name="Comma 2" xfId="5" xr:uid="{00000000-0005-0000-0000-000001000000}"/>
    <cellStyle name="Comma 3" xfId="8" xr:uid="{00000000-0005-0000-0000-000002000000}"/>
    <cellStyle name="Comma 4" xfId="12" xr:uid="{00000000-0005-0000-0000-000003000000}"/>
    <cellStyle name="Good" xfId="9" builtinId="26"/>
    <cellStyle name="Hyperlink" xfId="1" builtinId="8"/>
    <cellStyle name="Normal" xfId="0" builtinId="0"/>
    <cellStyle name="Normal 2" xfId="4" xr:uid="{00000000-0005-0000-0000-000007000000}"/>
    <cellStyle name="Normal 3" xfId="7" xr:uid="{00000000-0005-0000-0000-000008000000}"/>
    <cellStyle name="Normal 4" xfId="11" xr:uid="{00000000-0005-0000-0000-000009000000}"/>
    <cellStyle name="Normal 5" xfId="10" xr:uid="{00000000-0005-0000-0000-00000A000000}"/>
    <cellStyle name="Percent" xfId="2" builtinId="5"/>
    <cellStyle name="Percent 2" xfId="6" xr:uid="{00000000-0005-0000-0000-00000C000000}"/>
  </cellStyles>
  <dxfs count="0"/>
  <tableStyles count="0" defaultTableStyle="TableStyleMedium9" defaultPivotStyle="PivotStyleLight16"/>
  <colors>
    <mruColors>
      <color rgb="FFCCFF66"/>
      <color rgb="FFFFFF99"/>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01"/>
  <sheetViews>
    <sheetView topLeftCell="A67" zoomScaleNormal="100" workbookViewId="0">
      <selection activeCell="B78" sqref="B78"/>
    </sheetView>
  </sheetViews>
  <sheetFormatPr defaultRowHeight="13.2" x14ac:dyDescent="0.25"/>
  <cols>
    <col min="2" max="2" width="46.44140625" customWidth="1"/>
    <col min="8" max="8" width="10.44140625" customWidth="1"/>
    <col min="9" max="9" width="16.44140625" customWidth="1"/>
    <col min="10" max="10" width="16.44140625" style="450" customWidth="1"/>
    <col min="11" max="11" width="12.44140625" style="58" customWidth="1"/>
    <col min="12" max="12" width="53.5546875" customWidth="1"/>
    <col min="13" max="13" width="24.44140625" style="102" customWidth="1"/>
    <col min="14" max="14" width="17.44140625" style="102" customWidth="1"/>
    <col min="15" max="17" width="8.5546875" style="102" customWidth="1"/>
    <col min="18" max="20" width="8.5546875" style="102" hidden="1" customWidth="1"/>
    <col min="21" max="21" width="15.5546875" hidden="1" customWidth="1"/>
    <col min="22" max="22" width="8.5546875" hidden="1" customWidth="1"/>
    <col min="23" max="23" width="8.5546875" customWidth="1"/>
  </cols>
  <sheetData>
    <row r="1" spans="1:21" ht="21.6" thickBot="1" x14ac:dyDescent="0.3">
      <c r="A1" s="569" t="s">
        <v>92</v>
      </c>
      <c r="B1" s="569"/>
      <c r="C1" s="569"/>
      <c r="D1" s="569"/>
      <c r="E1" s="569"/>
      <c r="F1" s="569"/>
      <c r="G1" s="569"/>
      <c r="H1" s="569"/>
      <c r="I1" s="569"/>
      <c r="J1" s="569"/>
      <c r="K1" s="569"/>
      <c r="L1" s="569"/>
    </row>
    <row r="2" spans="1:21" ht="40.35" customHeight="1" thickBot="1" x14ac:dyDescent="0.3">
      <c r="A2" s="570" t="s">
        <v>44</v>
      </c>
      <c r="B2" s="570"/>
      <c r="C2" s="576" t="s">
        <v>93</v>
      </c>
      <c r="D2" s="577"/>
      <c r="E2" s="577"/>
      <c r="F2" s="577"/>
      <c r="G2" s="577"/>
      <c r="H2" s="577"/>
      <c r="I2" s="578"/>
      <c r="J2" s="451"/>
      <c r="K2" s="214" t="s">
        <v>94</v>
      </c>
      <c r="L2" s="214" t="s">
        <v>95</v>
      </c>
      <c r="M2" s="102" t="s">
        <v>197</v>
      </c>
    </row>
    <row r="3" spans="1:21" ht="25.35" customHeight="1" thickBot="1" x14ac:dyDescent="0.3">
      <c r="A3" s="561" t="s">
        <v>1</v>
      </c>
      <c r="B3" s="549" t="s">
        <v>0</v>
      </c>
      <c r="C3" s="563" t="s">
        <v>162</v>
      </c>
      <c r="D3" s="564"/>
      <c r="E3" s="564"/>
      <c r="F3" s="564"/>
      <c r="G3" s="564"/>
      <c r="H3" s="564"/>
      <c r="I3" s="564"/>
      <c r="J3" s="564"/>
      <c r="K3" s="564"/>
      <c r="L3" s="565"/>
      <c r="O3" s="103"/>
      <c r="P3" s="103"/>
      <c r="Q3" s="103"/>
      <c r="R3" s="103"/>
      <c r="S3" s="103"/>
      <c r="T3" s="103"/>
    </row>
    <row r="4" spans="1:21" ht="27" thickBot="1" x14ac:dyDescent="0.3">
      <c r="A4" s="562"/>
      <c r="B4" s="550"/>
      <c r="C4" s="566" t="s">
        <v>8</v>
      </c>
      <c r="D4" s="567"/>
      <c r="E4" s="567"/>
      <c r="F4" s="567"/>
      <c r="G4" s="568"/>
      <c r="H4" s="156" t="s">
        <v>2</v>
      </c>
      <c r="I4" s="12" t="s">
        <v>36</v>
      </c>
      <c r="J4" s="50" t="s">
        <v>17</v>
      </c>
      <c r="K4" s="408" t="s">
        <v>202</v>
      </c>
      <c r="L4" s="35" t="s">
        <v>9</v>
      </c>
    </row>
    <row r="5" spans="1:21" s="148" customFormat="1" ht="25.5" customHeight="1" x14ac:dyDescent="0.25">
      <c r="A5" s="213"/>
      <c r="B5" s="324" t="s">
        <v>14</v>
      </c>
      <c r="C5" s="325" t="s">
        <v>116</v>
      </c>
      <c r="D5" s="326" t="s">
        <v>117</v>
      </c>
      <c r="E5" s="327" t="s">
        <v>118</v>
      </c>
      <c r="F5" s="328" t="s">
        <v>119</v>
      </c>
      <c r="G5" s="328" t="s">
        <v>120</v>
      </c>
      <c r="H5" s="329"/>
      <c r="I5" s="330"/>
      <c r="J5" s="452"/>
      <c r="K5" s="331"/>
      <c r="L5" s="332"/>
      <c r="O5" s="252"/>
      <c r="P5" s="252"/>
      <c r="Q5" s="252"/>
      <c r="R5" s="252"/>
      <c r="S5" s="252"/>
      <c r="T5" s="253"/>
      <c r="U5" s="253"/>
    </row>
    <row r="6" spans="1:21" s="148" customFormat="1" x14ac:dyDescent="0.25">
      <c r="A6" s="213"/>
      <c r="B6" s="254" t="s">
        <v>121</v>
      </c>
      <c r="C6" s="255">
        <v>74.05</v>
      </c>
      <c r="D6" s="256">
        <v>0.55000000000000004</v>
      </c>
      <c r="E6" s="257">
        <v>17.399999999999999</v>
      </c>
      <c r="F6" s="258">
        <v>1</v>
      </c>
      <c r="G6" s="258"/>
      <c r="H6" s="248">
        <f>+C6*D6*E6*F6+G6</f>
        <v>708.65849999999989</v>
      </c>
      <c r="I6" s="249"/>
      <c r="J6" s="453"/>
      <c r="K6" s="250"/>
      <c r="L6" s="251" t="str">
        <f>(T6*100)&amp;U6&amp;""&amp;S6</f>
        <v>1.57% of total expenses of $45096</v>
      </c>
      <c r="O6" s="252"/>
      <c r="P6" s="252"/>
      <c r="Q6" s="252"/>
      <c r="R6" s="252"/>
      <c r="S6" s="259">
        <f t="shared" ref="S6:S16" si="0">ROUND(C6*35*E6, 0)</f>
        <v>45096</v>
      </c>
      <c r="T6" s="260">
        <f t="shared" ref="T6:T16" si="1">ROUND(D6/35, 4)</f>
        <v>1.5699999999999999E-2</v>
      </c>
      <c r="U6" s="261" t="s">
        <v>122</v>
      </c>
    </row>
    <row r="7" spans="1:21" s="148" customFormat="1" x14ac:dyDescent="0.25">
      <c r="A7" s="213"/>
      <c r="B7" s="254" t="s">
        <v>123</v>
      </c>
      <c r="C7" s="262">
        <v>57.65</v>
      </c>
      <c r="D7" s="263">
        <v>0.55000000000000004</v>
      </c>
      <c r="E7" s="264">
        <f>+E6</f>
        <v>17.399999999999999</v>
      </c>
      <c r="F7" s="258">
        <v>1</v>
      </c>
      <c r="G7" s="258"/>
      <c r="H7" s="248">
        <f t="shared" ref="H7:H16" si="2">+C7*D7*E7*F7+G7</f>
        <v>551.71050000000002</v>
      </c>
      <c r="I7" s="265"/>
      <c r="J7" s="454"/>
      <c r="K7" s="266"/>
      <c r="L7" s="251" t="str">
        <f t="shared" ref="L7:L16" si="3">(T7*100)&amp;U7&amp;""&amp;S7</f>
        <v>1.57% of total expenses of $35109</v>
      </c>
      <c r="O7" s="252"/>
      <c r="P7" s="252"/>
      <c r="Q7" s="252"/>
      <c r="R7" s="252"/>
      <c r="S7" s="259">
        <f t="shared" si="0"/>
        <v>35109</v>
      </c>
      <c r="T7" s="260">
        <f t="shared" si="1"/>
        <v>1.5699999999999999E-2</v>
      </c>
      <c r="U7" s="261" t="s">
        <v>122</v>
      </c>
    </row>
    <row r="8" spans="1:21" s="148" customFormat="1" x14ac:dyDescent="0.25">
      <c r="A8" s="213"/>
      <c r="B8" s="254" t="s">
        <v>124</v>
      </c>
      <c r="C8" s="262">
        <v>56.47</v>
      </c>
      <c r="D8" s="263">
        <v>0.55000000000000004</v>
      </c>
      <c r="E8" s="264">
        <f>+E7</f>
        <v>17.399999999999999</v>
      </c>
      <c r="F8" s="258">
        <v>1</v>
      </c>
      <c r="G8" s="258"/>
      <c r="H8" s="248">
        <f t="shared" si="2"/>
        <v>540.41790000000003</v>
      </c>
      <c r="I8" s="265"/>
      <c r="J8" s="454"/>
      <c r="K8" s="266"/>
      <c r="L8" s="251" t="str">
        <f t="shared" si="3"/>
        <v>1.57% of total expenses of $34390</v>
      </c>
      <c r="O8" s="252"/>
      <c r="P8" s="252"/>
      <c r="Q8" s="252"/>
      <c r="R8" s="252"/>
      <c r="S8" s="259">
        <f t="shared" si="0"/>
        <v>34390</v>
      </c>
      <c r="T8" s="260">
        <f t="shared" si="1"/>
        <v>1.5699999999999999E-2</v>
      </c>
      <c r="U8" s="261" t="s">
        <v>122</v>
      </c>
    </row>
    <row r="9" spans="1:21" s="148" customFormat="1" x14ac:dyDescent="0.25">
      <c r="A9" s="213"/>
      <c r="B9" s="254" t="s">
        <v>125</v>
      </c>
      <c r="C9" s="262">
        <v>36.020000000000003</v>
      </c>
      <c r="D9" s="263">
        <v>0.55000000000000004</v>
      </c>
      <c r="E9" s="264">
        <f t="shared" ref="E9:E14" si="4">+E8</f>
        <v>17.399999999999999</v>
      </c>
      <c r="F9" s="258">
        <v>1</v>
      </c>
      <c r="G9" s="258"/>
      <c r="H9" s="248">
        <f t="shared" si="2"/>
        <v>344.71140000000003</v>
      </c>
      <c r="I9" s="265"/>
      <c r="J9" s="454"/>
      <c r="K9" s="266"/>
      <c r="L9" s="251" t="str">
        <f t="shared" si="3"/>
        <v>1.57% of total expenses of $21936</v>
      </c>
      <c r="O9" s="252"/>
      <c r="P9" s="252"/>
      <c r="Q9" s="252"/>
      <c r="R9" s="252"/>
      <c r="S9" s="259">
        <f t="shared" si="0"/>
        <v>21936</v>
      </c>
      <c r="T9" s="260">
        <f t="shared" si="1"/>
        <v>1.5699999999999999E-2</v>
      </c>
      <c r="U9" s="261" t="s">
        <v>122</v>
      </c>
    </row>
    <row r="10" spans="1:21" s="148" customFormat="1" x14ac:dyDescent="0.25">
      <c r="A10" s="213"/>
      <c r="B10" s="254" t="s">
        <v>126</v>
      </c>
      <c r="C10" s="262">
        <v>37.31</v>
      </c>
      <c r="D10" s="263">
        <v>0.55000000000000004</v>
      </c>
      <c r="E10" s="264">
        <f t="shared" si="4"/>
        <v>17.399999999999999</v>
      </c>
      <c r="F10" s="258">
        <v>1</v>
      </c>
      <c r="G10" s="258"/>
      <c r="H10" s="248">
        <f t="shared" si="2"/>
        <v>357.05669999999998</v>
      </c>
      <c r="I10" s="265"/>
      <c r="J10" s="454"/>
      <c r="K10" s="266"/>
      <c r="L10" s="251" t="str">
        <f t="shared" si="3"/>
        <v>1.57% of total expenses of $22722</v>
      </c>
      <c r="O10" s="252"/>
      <c r="P10" s="252"/>
      <c r="Q10" s="252"/>
      <c r="R10" s="252"/>
      <c r="S10" s="259">
        <f t="shared" si="0"/>
        <v>22722</v>
      </c>
      <c r="T10" s="260">
        <f t="shared" si="1"/>
        <v>1.5699999999999999E-2</v>
      </c>
      <c r="U10" s="261" t="s">
        <v>122</v>
      </c>
    </row>
    <row r="11" spans="1:21" s="148" customFormat="1" x14ac:dyDescent="0.25">
      <c r="A11" s="213"/>
      <c r="B11" s="254" t="s">
        <v>127</v>
      </c>
      <c r="C11" s="262">
        <v>35.200000000000003</v>
      </c>
      <c r="D11" s="263">
        <v>0.55000000000000004</v>
      </c>
      <c r="E11" s="264">
        <f t="shared" si="4"/>
        <v>17.399999999999999</v>
      </c>
      <c r="F11" s="258">
        <v>1</v>
      </c>
      <c r="G11" s="258"/>
      <c r="H11" s="248">
        <f t="shared" si="2"/>
        <v>336.86400000000003</v>
      </c>
      <c r="I11" s="265"/>
      <c r="J11" s="454"/>
      <c r="K11" s="266"/>
      <c r="L11" s="251" t="str">
        <f t="shared" si="3"/>
        <v>1.57% of total expenses of $21437</v>
      </c>
      <c r="O11" s="252"/>
      <c r="P11" s="252"/>
      <c r="Q11" s="252"/>
      <c r="R11" s="252"/>
      <c r="S11" s="259">
        <f t="shared" si="0"/>
        <v>21437</v>
      </c>
      <c r="T11" s="260">
        <f t="shared" si="1"/>
        <v>1.5699999999999999E-2</v>
      </c>
      <c r="U11" s="261" t="s">
        <v>122</v>
      </c>
    </row>
    <row r="12" spans="1:21" s="148" customFormat="1" x14ac:dyDescent="0.25">
      <c r="A12" s="213"/>
      <c r="B12" s="254" t="s">
        <v>128</v>
      </c>
      <c r="C12" s="262">
        <v>34.880000000000003</v>
      </c>
      <c r="D12" s="263">
        <v>0.55000000000000004</v>
      </c>
      <c r="E12" s="264">
        <f t="shared" si="4"/>
        <v>17.399999999999999</v>
      </c>
      <c r="F12" s="258">
        <v>1</v>
      </c>
      <c r="G12" s="258"/>
      <c r="H12" s="248">
        <f t="shared" si="2"/>
        <v>333.80160000000006</v>
      </c>
      <c r="I12" s="265"/>
      <c r="J12" s="454"/>
      <c r="K12" s="266"/>
      <c r="L12" s="251" t="str">
        <f>(T12*100)&amp;U12&amp;""&amp;S12</f>
        <v>1.57% of total expenses of $21242</v>
      </c>
      <c r="O12" s="252"/>
      <c r="P12" s="252"/>
      <c r="Q12" s="252"/>
      <c r="R12" s="252"/>
      <c r="S12" s="259">
        <f t="shared" si="0"/>
        <v>21242</v>
      </c>
      <c r="T12" s="260">
        <f t="shared" si="1"/>
        <v>1.5699999999999999E-2</v>
      </c>
      <c r="U12" s="261" t="s">
        <v>122</v>
      </c>
    </row>
    <row r="13" spans="1:21" s="148" customFormat="1" x14ac:dyDescent="0.25">
      <c r="A13" s="213"/>
      <c r="B13" s="254" t="s">
        <v>129</v>
      </c>
      <c r="C13" s="262">
        <v>35.04</v>
      </c>
      <c r="D13" s="263">
        <v>0.55000000000000004</v>
      </c>
      <c r="E13" s="264">
        <f t="shared" si="4"/>
        <v>17.399999999999999</v>
      </c>
      <c r="F13" s="258">
        <v>1</v>
      </c>
      <c r="G13" s="258"/>
      <c r="H13" s="248">
        <f t="shared" si="2"/>
        <v>335.33280000000002</v>
      </c>
      <c r="I13" s="265"/>
      <c r="J13" s="454"/>
      <c r="K13" s="266"/>
      <c r="L13" s="251" t="str">
        <f t="shared" si="3"/>
        <v>1.57% of total expenses of $21339</v>
      </c>
      <c r="O13" s="252"/>
      <c r="P13" s="252"/>
      <c r="Q13" s="252"/>
      <c r="R13" s="252"/>
      <c r="S13" s="259">
        <f t="shared" si="0"/>
        <v>21339</v>
      </c>
      <c r="T13" s="260">
        <f t="shared" si="1"/>
        <v>1.5699999999999999E-2</v>
      </c>
      <c r="U13" s="261" t="s">
        <v>122</v>
      </c>
    </row>
    <row r="14" spans="1:21" s="148" customFormat="1" x14ac:dyDescent="0.25">
      <c r="A14" s="213"/>
      <c r="B14" s="254" t="s">
        <v>130</v>
      </c>
      <c r="C14" s="262">
        <v>28.56</v>
      </c>
      <c r="D14" s="263">
        <v>0.55000000000000004</v>
      </c>
      <c r="E14" s="264">
        <f t="shared" si="4"/>
        <v>17.399999999999999</v>
      </c>
      <c r="F14" s="258">
        <v>1</v>
      </c>
      <c r="G14" s="258"/>
      <c r="H14" s="248">
        <f t="shared" si="2"/>
        <v>273.31919999999997</v>
      </c>
      <c r="I14" s="265"/>
      <c r="J14" s="454"/>
      <c r="K14" s="266"/>
      <c r="L14" s="251" t="str">
        <f t="shared" si="3"/>
        <v>1.57% of total expenses of $17393</v>
      </c>
      <c r="O14" s="252"/>
      <c r="P14" s="252"/>
      <c r="Q14" s="252"/>
      <c r="R14" s="252"/>
      <c r="S14" s="259">
        <f t="shared" si="0"/>
        <v>17393</v>
      </c>
      <c r="T14" s="260">
        <f t="shared" si="1"/>
        <v>1.5699999999999999E-2</v>
      </c>
      <c r="U14" s="261" t="s">
        <v>122</v>
      </c>
    </row>
    <row r="15" spans="1:21" s="148" customFormat="1" x14ac:dyDescent="0.25">
      <c r="A15" s="213"/>
      <c r="B15" s="254" t="s">
        <v>131</v>
      </c>
      <c r="C15" s="262">
        <v>46.62</v>
      </c>
      <c r="D15" s="263">
        <v>0.22</v>
      </c>
      <c r="E15" s="264">
        <f>+E14</f>
        <v>17.399999999999999</v>
      </c>
      <c r="F15" s="258">
        <v>1</v>
      </c>
      <c r="G15" s="258"/>
      <c r="H15" s="248">
        <f t="shared" si="2"/>
        <v>178.46135999999998</v>
      </c>
      <c r="I15" s="265"/>
      <c r="J15" s="454"/>
      <c r="K15" s="266"/>
      <c r="L15" s="251" t="str">
        <f t="shared" si="3"/>
        <v>0.63% of total expenses of $28392</v>
      </c>
      <c r="O15" s="252"/>
      <c r="P15" s="252"/>
      <c r="Q15" s="252"/>
      <c r="R15" s="252"/>
      <c r="S15" s="347">
        <f t="shared" si="0"/>
        <v>28392</v>
      </c>
      <c r="T15" s="260">
        <f t="shared" si="1"/>
        <v>6.3E-3</v>
      </c>
      <c r="U15" s="348" t="s">
        <v>122</v>
      </c>
    </row>
    <row r="16" spans="1:21" s="148" customFormat="1" x14ac:dyDescent="0.25">
      <c r="A16" s="213"/>
      <c r="B16" s="254" t="s">
        <v>132</v>
      </c>
      <c r="C16" s="262">
        <v>62.15</v>
      </c>
      <c r="D16" s="263">
        <v>0.72</v>
      </c>
      <c r="E16" s="264">
        <f>+E15</f>
        <v>17.399999999999999</v>
      </c>
      <c r="F16" s="258">
        <v>1</v>
      </c>
      <c r="G16" s="258"/>
      <c r="H16" s="248">
        <f t="shared" si="2"/>
        <v>778.61519999999985</v>
      </c>
      <c r="I16" s="265"/>
      <c r="J16" s="454"/>
      <c r="K16" s="266"/>
      <c r="L16" s="251" t="str">
        <f t="shared" si="3"/>
        <v>2.06% of total expenses of $37849</v>
      </c>
      <c r="O16" s="252"/>
      <c r="P16" s="252"/>
      <c r="Q16" s="252"/>
      <c r="R16" s="252"/>
      <c r="S16" s="259">
        <f t="shared" si="0"/>
        <v>37849</v>
      </c>
      <c r="T16" s="260">
        <f t="shared" si="1"/>
        <v>2.06E-2</v>
      </c>
      <c r="U16" s="261" t="s">
        <v>122</v>
      </c>
    </row>
    <row r="17" spans="1:21" s="148" customFormat="1" ht="26.4" x14ac:dyDescent="0.25">
      <c r="A17" s="213"/>
      <c r="B17" s="254" t="s">
        <v>15</v>
      </c>
      <c r="C17" s="267">
        <v>0.17910000000000001</v>
      </c>
      <c r="D17" s="268"/>
      <c r="E17" s="264"/>
      <c r="F17" s="269"/>
      <c r="G17" s="269"/>
      <c r="H17" s="270">
        <f>SUM(H6:H16)*C17</f>
        <v>848.74579455600008</v>
      </c>
      <c r="I17" s="265"/>
      <c r="J17" s="454"/>
      <c r="K17" s="266"/>
      <c r="L17" s="251" t="str">
        <f>CONCATENATE("Avg.", ROUND(C17*100, 2), "% of wage, including MERC, Retirement Plan and Group Benefit. ")</f>
        <v xml:space="preserve">Avg.17.91% of wage, including MERC, Retirement Plan and Group Benefit. </v>
      </c>
      <c r="O17" s="252"/>
      <c r="P17" s="252"/>
      <c r="Q17" s="252"/>
      <c r="R17" s="252"/>
      <c r="S17" s="259">
        <f>ROUND(C17*E17*52.2, 0)</f>
        <v>0</v>
      </c>
      <c r="T17" s="253"/>
      <c r="U17" s="253"/>
    </row>
    <row r="18" spans="1:21" s="148" customFormat="1" x14ac:dyDescent="0.25">
      <c r="A18" s="213"/>
      <c r="B18" s="271" t="s">
        <v>133</v>
      </c>
      <c r="C18" s="272"/>
      <c r="D18" s="273"/>
      <c r="E18" s="274"/>
      <c r="F18" s="275"/>
      <c r="G18" s="275"/>
      <c r="H18" s="276"/>
      <c r="I18" s="277">
        <f>SUM(H6:H17)</f>
        <v>5587.6949545560001</v>
      </c>
      <c r="J18" s="455"/>
      <c r="K18" s="405">
        <v>5588</v>
      </c>
      <c r="L18" s="278"/>
      <c r="O18" s="252"/>
      <c r="P18" s="252"/>
      <c r="Q18" s="252"/>
      <c r="R18" s="252"/>
      <c r="S18" s="252"/>
      <c r="T18" s="253"/>
      <c r="U18" s="253"/>
    </row>
    <row r="19" spans="1:21" s="148" customFormat="1" x14ac:dyDescent="0.25">
      <c r="A19" s="213"/>
      <c r="B19" s="254"/>
      <c r="C19" s="262"/>
      <c r="D19" s="263"/>
      <c r="E19" s="264"/>
      <c r="F19" s="258"/>
      <c r="G19" s="258"/>
      <c r="H19" s="248"/>
      <c r="I19" s="265"/>
      <c r="J19" s="454"/>
      <c r="K19" s="266"/>
      <c r="L19" s="251"/>
      <c r="O19" s="279"/>
      <c r="P19" s="279"/>
      <c r="Q19" s="279"/>
      <c r="R19" s="279"/>
      <c r="S19" s="279"/>
      <c r="T19" s="280"/>
      <c r="U19" s="280"/>
    </row>
    <row r="20" spans="1:21" s="148" customFormat="1" x14ac:dyDescent="0.25">
      <c r="A20" s="213"/>
      <c r="B20" s="243" t="s">
        <v>134</v>
      </c>
      <c r="C20" s="262"/>
      <c r="D20" s="268"/>
      <c r="E20" s="264"/>
      <c r="F20" s="269"/>
      <c r="G20" s="269"/>
      <c r="H20" s="281"/>
      <c r="I20" s="265"/>
      <c r="J20" s="454"/>
      <c r="K20" s="266"/>
      <c r="L20" s="251"/>
      <c r="O20" s="252"/>
      <c r="P20" s="252"/>
      <c r="Q20" s="252"/>
      <c r="R20" s="252"/>
      <c r="S20" s="252"/>
      <c r="T20" s="253"/>
      <c r="U20" s="253"/>
    </row>
    <row r="21" spans="1:21" s="148" customFormat="1" x14ac:dyDescent="0.25">
      <c r="A21" s="213"/>
      <c r="B21" s="254" t="s">
        <v>135</v>
      </c>
      <c r="C21" s="262"/>
      <c r="D21" s="268"/>
      <c r="E21" s="264"/>
      <c r="F21" s="269"/>
      <c r="G21" s="269"/>
      <c r="H21" s="270">
        <f>+S21*T21</f>
        <v>51.637299999999996</v>
      </c>
      <c r="I21" s="265"/>
      <c r="J21" s="454"/>
      <c r="K21" s="266"/>
      <c r="L21" s="251" t="str">
        <f>T21*100&amp;U$21&amp;""&amp;S21</f>
        <v>1.57% of total expenses of $3289</v>
      </c>
      <c r="O21" s="252"/>
      <c r="P21" s="252"/>
      <c r="Q21" s="252"/>
      <c r="R21" s="148">
        <v>9866</v>
      </c>
      <c r="S21" s="102">
        <f>ROUND(R21/12*4,0)</f>
        <v>3289</v>
      </c>
      <c r="T21" s="282">
        <f>+T6</f>
        <v>1.5699999999999999E-2</v>
      </c>
      <c r="U21" s="253" t="str">
        <f>+U6</f>
        <v>% of total expenses of $</v>
      </c>
    </row>
    <row r="22" spans="1:21" s="148" customFormat="1" x14ac:dyDescent="0.25">
      <c r="A22" s="213"/>
      <c r="B22" s="254" t="s">
        <v>136</v>
      </c>
      <c r="C22" s="262"/>
      <c r="D22" s="268"/>
      <c r="E22" s="264"/>
      <c r="F22" s="269"/>
      <c r="G22" s="269"/>
      <c r="H22" s="270">
        <f t="shared" ref="H22:H38" si="5">+S22*T22</f>
        <v>440.46349999999995</v>
      </c>
      <c r="I22" s="265"/>
      <c r="J22" s="454"/>
      <c r="K22" s="266"/>
      <c r="L22" s="251" t="str">
        <f t="shared" ref="L22:L37" si="6">T22*100&amp;U$21&amp;""&amp;S22</f>
        <v>1.57% of total expenses of $28055</v>
      </c>
      <c r="O22" s="252"/>
      <c r="P22" s="252"/>
      <c r="Q22" s="252"/>
      <c r="R22" s="148">
        <v>84165</v>
      </c>
      <c r="S22" s="102">
        <f t="shared" ref="S22:S38" si="7">ROUND(R22/12*4,0)</f>
        <v>28055</v>
      </c>
      <c r="T22" s="282">
        <f>+T21</f>
        <v>1.5699999999999999E-2</v>
      </c>
      <c r="U22" s="282" t="str">
        <f>+U21</f>
        <v>% of total expenses of $</v>
      </c>
    </row>
    <row r="23" spans="1:21" s="148" customFormat="1" x14ac:dyDescent="0.25">
      <c r="A23" s="213"/>
      <c r="B23" s="254" t="s">
        <v>137</v>
      </c>
      <c r="C23" s="262"/>
      <c r="D23" s="268"/>
      <c r="E23" s="264"/>
      <c r="F23" s="269"/>
      <c r="G23" s="269"/>
      <c r="H23" s="270">
        <f t="shared" si="5"/>
        <v>34.791199999999996</v>
      </c>
      <c r="I23" s="265"/>
      <c r="J23" s="454"/>
      <c r="K23" s="266"/>
      <c r="L23" s="251" t="str">
        <f t="shared" si="6"/>
        <v>1.57% of total expenses of $2216</v>
      </c>
      <c r="O23" s="252"/>
      <c r="P23" s="252"/>
      <c r="Q23" s="252"/>
      <c r="R23" s="148">
        <v>6647</v>
      </c>
      <c r="S23" s="102">
        <f t="shared" si="7"/>
        <v>2216</v>
      </c>
      <c r="T23" s="282">
        <f t="shared" ref="T23:U38" si="8">+T22</f>
        <v>1.5699999999999999E-2</v>
      </c>
      <c r="U23" s="282" t="str">
        <f t="shared" si="8"/>
        <v>% of total expenses of $</v>
      </c>
    </row>
    <row r="24" spans="1:21" s="148" customFormat="1" x14ac:dyDescent="0.25">
      <c r="A24" s="213"/>
      <c r="B24" s="254" t="s">
        <v>138</v>
      </c>
      <c r="C24" s="262"/>
      <c r="D24" s="268"/>
      <c r="E24" s="264"/>
      <c r="F24" s="269"/>
      <c r="G24" s="269"/>
      <c r="H24" s="270">
        <f t="shared" si="5"/>
        <v>41.542199999999994</v>
      </c>
      <c r="I24" s="265"/>
      <c r="J24" s="454"/>
      <c r="K24" s="266"/>
      <c r="L24" s="251" t="str">
        <f t="shared" si="6"/>
        <v>1.57% of total expenses of $2646</v>
      </c>
      <c r="O24" s="252"/>
      <c r="P24" s="252"/>
      <c r="Q24" s="252"/>
      <c r="R24" s="148">
        <v>7939</v>
      </c>
      <c r="S24" s="102">
        <f t="shared" si="7"/>
        <v>2646</v>
      </c>
      <c r="T24" s="282">
        <f t="shared" si="8"/>
        <v>1.5699999999999999E-2</v>
      </c>
      <c r="U24" s="282" t="str">
        <f t="shared" si="8"/>
        <v>% of total expenses of $</v>
      </c>
    </row>
    <row r="25" spans="1:21" s="148" customFormat="1" x14ac:dyDescent="0.25">
      <c r="A25" s="213"/>
      <c r="B25" s="254" t="s">
        <v>139</v>
      </c>
      <c r="C25" s="262"/>
      <c r="D25" s="268"/>
      <c r="E25" s="264"/>
      <c r="F25" s="269"/>
      <c r="G25" s="269"/>
      <c r="H25" s="270">
        <f t="shared" si="5"/>
        <v>43.5047</v>
      </c>
      <c r="I25" s="265"/>
      <c r="J25" s="454"/>
      <c r="K25" s="266"/>
      <c r="L25" s="251" t="str">
        <f t="shared" si="6"/>
        <v>1.57% of total expenses of $2771</v>
      </c>
      <c r="O25" s="252"/>
      <c r="P25" s="252"/>
      <c r="Q25" s="252"/>
      <c r="R25" s="148">
        <v>8314</v>
      </c>
      <c r="S25" s="102">
        <f t="shared" si="7"/>
        <v>2771</v>
      </c>
      <c r="T25" s="282">
        <f t="shared" si="8"/>
        <v>1.5699999999999999E-2</v>
      </c>
      <c r="U25" s="282" t="str">
        <f t="shared" si="8"/>
        <v>% of total expenses of $</v>
      </c>
    </row>
    <row r="26" spans="1:21" s="148" customFormat="1" x14ac:dyDescent="0.25">
      <c r="A26" s="213"/>
      <c r="B26" s="254" t="s">
        <v>140</v>
      </c>
      <c r="C26" s="262"/>
      <c r="D26" s="268"/>
      <c r="E26" s="264"/>
      <c r="F26" s="269"/>
      <c r="G26" s="269"/>
      <c r="H26" s="270">
        <f t="shared" si="5"/>
        <v>13.392099999999999</v>
      </c>
      <c r="I26" s="265"/>
      <c r="J26" s="454"/>
      <c r="K26" s="266"/>
      <c r="L26" s="251" t="str">
        <f t="shared" si="6"/>
        <v>1.57% of total expenses of $853</v>
      </c>
      <c r="O26" s="252"/>
      <c r="P26" s="252"/>
      <c r="Q26" s="252"/>
      <c r="R26" s="148">
        <v>2560</v>
      </c>
      <c r="S26" s="102">
        <f t="shared" si="7"/>
        <v>853</v>
      </c>
      <c r="T26" s="282">
        <f t="shared" si="8"/>
        <v>1.5699999999999999E-2</v>
      </c>
      <c r="U26" s="282" t="str">
        <f t="shared" si="8"/>
        <v>% of total expenses of $</v>
      </c>
    </row>
    <row r="27" spans="1:21" s="148" customFormat="1" x14ac:dyDescent="0.25">
      <c r="A27" s="213"/>
      <c r="B27" s="254" t="s">
        <v>141</v>
      </c>
      <c r="C27" s="262"/>
      <c r="D27" s="268"/>
      <c r="E27" s="264"/>
      <c r="F27" s="269"/>
      <c r="G27" s="269"/>
      <c r="H27" s="270">
        <f t="shared" si="5"/>
        <v>39.2029</v>
      </c>
      <c r="I27" s="265"/>
      <c r="J27" s="454"/>
      <c r="K27" s="266"/>
      <c r="L27" s="251" t="str">
        <f t="shared" si="6"/>
        <v>1.57% of total expenses of $2497</v>
      </c>
      <c r="O27" s="252"/>
      <c r="P27" s="252"/>
      <c r="Q27" s="252"/>
      <c r="R27" s="148">
        <v>7490</v>
      </c>
      <c r="S27" s="102">
        <f t="shared" si="7"/>
        <v>2497</v>
      </c>
      <c r="T27" s="282">
        <f t="shared" si="8"/>
        <v>1.5699999999999999E-2</v>
      </c>
      <c r="U27" s="282" t="str">
        <f t="shared" si="8"/>
        <v>% of total expenses of $</v>
      </c>
    </row>
    <row r="28" spans="1:21" s="148" customFormat="1" x14ac:dyDescent="0.25">
      <c r="A28" s="213"/>
      <c r="B28" s="254" t="s">
        <v>142</v>
      </c>
      <c r="C28" s="262"/>
      <c r="D28" s="268"/>
      <c r="E28" s="264"/>
      <c r="F28" s="269"/>
      <c r="G28" s="269"/>
      <c r="H28" s="270">
        <f t="shared" si="5"/>
        <v>104.67189999999999</v>
      </c>
      <c r="I28" s="265"/>
      <c r="J28" s="454"/>
      <c r="K28" s="266"/>
      <c r="L28" s="251" t="str">
        <f t="shared" si="6"/>
        <v>1.57% of total expenses of $6667</v>
      </c>
      <c r="O28" s="252"/>
      <c r="P28" s="252"/>
      <c r="Q28" s="252"/>
      <c r="R28" s="148">
        <v>20000</v>
      </c>
      <c r="S28" s="102">
        <f t="shared" si="7"/>
        <v>6667</v>
      </c>
      <c r="T28" s="282">
        <f t="shared" si="8"/>
        <v>1.5699999999999999E-2</v>
      </c>
      <c r="U28" s="282" t="str">
        <f t="shared" si="8"/>
        <v>% of total expenses of $</v>
      </c>
    </row>
    <row r="29" spans="1:21" s="148" customFormat="1" x14ac:dyDescent="0.25">
      <c r="A29" s="213"/>
      <c r="B29" s="254" t="s">
        <v>143</v>
      </c>
      <c r="C29" s="262"/>
      <c r="D29" s="268"/>
      <c r="E29" s="264"/>
      <c r="F29" s="269"/>
      <c r="G29" s="269"/>
      <c r="H29" s="270">
        <f t="shared" si="5"/>
        <v>371.57189999999997</v>
      </c>
      <c r="I29" s="265"/>
      <c r="J29" s="454"/>
      <c r="K29" s="266"/>
      <c r="L29" s="251" t="str">
        <f t="shared" si="6"/>
        <v>1.57% of total expenses of $23667</v>
      </c>
      <c r="O29" s="252"/>
      <c r="P29" s="252"/>
      <c r="Q29" s="252"/>
      <c r="R29" s="148">
        <v>71000</v>
      </c>
      <c r="S29" s="102">
        <f t="shared" si="7"/>
        <v>23667</v>
      </c>
      <c r="T29" s="282">
        <f t="shared" si="8"/>
        <v>1.5699999999999999E-2</v>
      </c>
      <c r="U29" s="282" t="str">
        <f t="shared" si="8"/>
        <v>% of total expenses of $</v>
      </c>
    </row>
    <row r="30" spans="1:21" s="148" customFormat="1" x14ac:dyDescent="0.25">
      <c r="A30" s="213"/>
      <c r="B30" s="254" t="s">
        <v>144</v>
      </c>
      <c r="C30" s="262"/>
      <c r="D30" s="268"/>
      <c r="E30" s="264"/>
      <c r="F30" s="269"/>
      <c r="G30" s="269"/>
      <c r="H30" s="270">
        <f t="shared" si="5"/>
        <v>78.5</v>
      </c>
      <c r="I30" s="265"/>
      <c r="J30" s="454"/>
      <c r="K30" s="266"/>
      <c r="L30" s="251" t="str">
        <f t="shared" si="6"/>
        <v>1.57% of total expenses of $5000</v>
      </c>
      <c r="O30" s="252"/>
      <c r="P30" s="252"/>
      <c r="Q30" s="252"/>
      <c r="R30" s="148">
        <v>15000</v>
      </c>
      <c r="S30" s="102">
        <f t="shared" si="7"/>
        <v>5000</v>
      </c>
      <c r="T30" s="282">
        <f t="shared" si="8"/>
        <v>1.5699999999999999E-2</v>
      </c>
      <c r="U30" s="282" t="str">
        <f t="shared" si="8"/>
        <v>% of total expenses of $</v>
      </c>
    </row>
    <row r="31" spans="1:21" s="148" customFormat="1" x14ac:dyDescent="0.25">
      <c r="A31" s="213"/>
      <c r="B31" s="254" t="s">
        <v>145</v>
      </c>
      <c r="C31" s="262"/>
      <c r="D31" s="268"/>
      <c r="E31" s="264"/>
      <c r="F31" s="269"/>
      <c r="G31" s="269"/>
      <c r="H31" s="270">
        <f t="shared" si="5"/>
        <v>51.024999999999999</v>
      </c>
      <c r="I31" s="265"/>
      <c r="J31" s="454"/>
      <c r="K31" s="266"/>
      <c r="L31" s="251" t="str">
        <f t="shared" si="6"/>
        <v>1.57% of total expenses of $3250</v>
      </c>
      <c r="O31" s="252"/>
      <c r="P31" s="252"/>
      <c r="Q31" s="252"/>
      <c r="R31" s="148">
        <v>9750</v>
      </c>
      <c r="S31" s="102">
        <f t="shared" si="7"/>
        <v>3250</v>
      </c>
      <c r="T31" s="282">
        <f t="shared" si="8"/>
        <v>1.5699999999999999E-2</v>
      </c>
      <c r="U31" s="282" t="str">
        <f t="shared" si="8"/>
        <v>% of total expenses of $</v>
      </c>
    </row>
    <row r="32" spans="1:21" s="148" customFormat="1" x14ac:dyDescent="0.25">
      <c r="A32" s="213"/>
      <c r="B32" s="254" t="s">
        <v>146</v>
      </c>
      <c r="C32" s="262"/>
      <c r="D32" s="268"/>
      <c r="E32" s="264"/>
      <c r="F32" s="269"/>
      <c r="G32" s="269"/>
      <c r="H32" s="270">
        <f t="shared" si="5"/>
        <v>34.021899999999995</v>
      </c>
      <c r="I32" s="265"/>
      <c r="J32" s="454"/>
      <c r="K32" s="266"/>
      <c r="L32" s="251" t="str">
        <f t="shared" si="6"/>
        <v>1.57% of total expenses of $2167</v>
      </c>
      <c r="O32" s="252"/>
      <c r="P32" s="252"/>
      <c r="Q32" s="252"/>
      <c r="R32" s="148">
        <v>6500</v>
      </c>
      <c r="S32" s="102">
        <f t="shared" si="7"/>
        <v>2167</v>
      </c>
      <c r="T32" s="282">
        <f t="shared" si="8"/>
        <v>1.5699999999999999E-2</v>
      </c>
      <c r="U32" s="282" t="str">
        <f t="shared" si="8"/>
        <v>% of total expenses of $</v>
      </c>
    </row>
    <row r="33" spans="1:21" s="148" customFormat="1" x14ac:dyDescent="0.25">
      <c r="A33" s="213"/>
      <c r="B33" s="254" t="s">
        <v>147</v>
      </c>
      <c r="C33" s="262"/>
      <c r="D33" s="268"/>
      <c r="E33" s="264"/>
      <c r="F33" s="269"/>
      <c r="G33" s="269"/>
      <c r="H33" s="270">
        <f t="shared" si="5"/>
        <v>23.549999999999997</v>
      </c>
      <c r="I33" s="265"/>
      <c r="J33" s="454"/>
      <c r="K33" s="266"/>
      <c r="L33" s="251" t="str">
        <f t="shared" si="6"/>
        <v>1.57% of total expenses of $1500</v>
      </c>
      <c r="M33" s="396"/>
      <c r="O33" s="252"/>
      <c r="P33" s="252"/>
      <c r="Q33" s="252"/>
      <c r="R33" s="148">
        <v>4500</v>
      </c>
      <c r="S33" s="102">
        <f t="shared" si="7"/>
        <v>1500</v>
      </c>
      <c r="T33" s="282">
        <f t="shared" si="8"/>
        <v>1.5699999999999999E-2</v>
      </c>
      <c r="U33" s="282" t="str">
        <f t="shared" si="8"/>
        <v>% of total expenses of $</v>
      </c>
    </row>
    <row r="34" spans="1:21" s="148" customFormat="1" x14ac:dyDescent="0.25">
      <c r="A34" s="213"/>
      <c r="B34" s="254" t="s">
        <v>148</v>
      </c>
      <c r="C34" s="262"/>
      <c r="D34" s="268"/>
      <c r="E34" s="264"/>
      <c r="F34" s="269"/>
      <c r="G34" s="269"/>
      <c r="H34" s="270">
        <f t="shared" si="5"/>
        <v>8.1796999999999986</v>
      </c>
      <c r="I34" s="265"/>
      <c r="J34" s="454"/>
      <c r="K34" s="266"/>
      <c r="L34" s="251" t="str">
        <f t="shared" si="6"/>
        <v>1.57% of total expenses of $521</v>
      </c>
      <c r="O34" s="252"/>
      <c r="P34" s="252"/>
      <c r="Q34" s="252"/>
      <c r="R34" s="148">
        <v>1562</v>
      </c>
      <c r="S34" s="102">
        <f t="shared" si="7"/>
        <v>521</v>
      </c>
      <c r="T34" s="282">
        <f t="shared" si="8"/>
        <v>1.5699999999999999E-2</v>
      </c>
      <c r="U34" s="282" t="str">
        <f t="shared" si="8"/>
        <v>% of total expenses of $</v>
      </c>
    </row>
    <row r="35" spans="1:21" s="148" customFormat="1" x14ac:dyDescent="0.25">
      <c r="A35" s="213"/>
      <c r="B35" s="254" t="s">
        <v>149</v>
      </c>
      <c r="C35" s="262"/>
      <c r="D35" s="268"/>
      <c r="E35" s="264"/>
      <c r="F35" s="269"/>
      <c r="G35" s="269"/>
      <c r="H35" s="270">
        <f t="shared" si="5"/>
        <v>97.496999999999986</v>
      </c>
      <c r="I35" s="265"/>
      <c r="J35" s="454"/>
      <c r="K35" s="266"/>
      <c r="L35" s="251" t="str">
        <f t="shared" si="6"/>
        <v>1.57% of total expenses of $6210</v>
      </c>
      <c r="O35" s="252"/>
      <c r="P35" s="252"/>
      <c r="Q35" s="252"/>
      <c r="R35" s="148">
        <v>18630</v>
      </c>
      <c r="S35" s="102">
        <f t="shared" si="7"/>
        <v>6210</v>
      </c>
      <c r="T35" s="282">
        <f t="shared" si="8"/>
        <v>1.5699999999999999E-2</v>
      </c>
      <c r="U35" s="282" t="str">
        <f t="shared" si="8"/>
        <v>% of total expenses of $</v>
      </c>
    </row>
    <row r="36" spans="1:21" s="148" customFormat="1" x14ac:dyDescent="0.25">
      <c r="A36" s="213"/>
      <c r="B36" s="254" t="s">
        <v>150</v>
      </c>
      <c r="C36" s="262"/>
      <c r="D36" s="268"/>
      <c r="E36" s="264"/>
      <c r="F36" s="269"/>
      <c r="G36" s="269"/>
      <c r="H36" s="270">
        <f t="shared" si="5"/>
        <v>16.610599999999998</v>
      </c>
      <c r="I36" s="265"/>
      <c r="J36" s="454"/>
      <c r="K36" s="266"/>
      <c r="L36" s="251" t="str">
        <f t="shared" si="6"/>
        <v>1.57% of total expenses of $1058</v>
      </c>
      <c r="O36" s="252"/>
      <c r="P36" s="252"/>
      <c r="Q36" s="252"/>
      <c r="R36" s="148">
        <v>3175</v>
      </c>
      <c r="S36" s="102">
        <f t="shared" si="7"/>
        <v>1058</v>
      </c>
      <c r="T36" s="282">
        <f t="shared" si="8"/>
        <v>1.5699999999999999E-2</v>
      </c>
      <c r="U36" s="282" t="str">
        <f t="shared" si="8"/>
        <v>% of total expenses of $</v>
      </c>
    </row>
    <row r="37" spans="1:21" s="148" customFormat="1" x14ac:dyDescent="0.25">
      <c r="A37" s="213"/>
      <c r="B37" s="254" t="s">
        <v>151</v>
      </c>
      <c r="C37" s="262"/>
      <c r="D37" s="268"/>
      <c r="E37" s="264"/>
      <c r="F37" s="269"/>
      <c r="G37" s="269"/>
      <c r="H37" s="270">
        <f t="shared" si="5"/>
        <v>258.21789999999999</v>
      </c>
      <c r="I37" s="265"/>
      <c r="J37" s="454"/>
      <c r="K37" s="266"/>
      <c r="L37" s="251" t="str">
        <f t="shared" si="6"/>
        <v>1.57% of total expenses of $16447</v>
      </c>
      <c r="O37" s="252"/>
      <c r="P37" s="252"/>
      <c r="Q37" s="252"/>
      <c r="R37" s="148">
        <v>49340</v>
      </c>
      <c r="S37" s="102">
        <f t="shared" si="7"/>
        <v>16447</v>
      </c>
      <c r="T37" s="282">
        <f t="shared" si="8"/>
        <v>1.5699999999999999E-2</v>
      </c>
      <c r="U37" s="282" t="str">
        <f t="shared" si="8"/>
        <v>% of total expenses of $</v>
      </c>
    </row>
    <row r="38" spans="1:21" s="148" customFormat="1" x14ac:dyDescent="0.25">
      <c r="A38" s="213"/>
      <c r="B38" s="254" t="s">
        <v>152</v>
      </c>
      <c r="C38" s="262"/>
      <c r="D38" s="268"/>
      <c r="E38" s="264"/>
      <c r="F38" s="269"/>
      <c r="G38" s="269"/>
      <c r="H38" s="270">
        <f t="shared" si="5"/>
        <v>36.486799999999995</v>
      </c>
      <c r="I38" s="265"/>
      <c r="J38" s="454"/>
      <c r="K38" s="266"/>
      <c r="L38" s="251" t="s">
        <v>66</v>
      </c>
      <c r="O38" s="252"/>
      <c r="P38" s="252"/>
      <c r="Q38" s="252"/>
      <c r="R38" s="148">
        <v>6972</v>
      </c>
      <c r="S38" s="102">
        <f t="shared" si="7"/>
        <v>2324</v>
      </c>
      <c r="T38" s="282">
        <f t="shared" si="8"/>
        <v>1.5699999999999999E-2</v>
      </c>
      <c r="U38" s="282" t="str">
        <f t="shared" si="8"/>
        <v>% of total expenses of $</v>
      </c>
    </row>
    <row r="39" spans="1:21" s="148" customFormat="1" x14ac:dyDescent="0.25">
      <c r="A39" s="213"/>
      <c r="B39" s="271" t="s">
        <v>153</v>
      </c>
      <c r="C39" s="283"/>
      <c r="D39" s="284"/>
      <c r="E39" s="285"/>
      <c r="F39" s="286"/>
      <c r="G39" s="286"/>
      <c r="H39" s="287"/>
      <c r="I39" s="288">
        <f>SUM(H21:H38)</f>
        <v>1744.8665999999996</v>
      </c>
      <c r="J39" s="456"/>
      <c r="K39" s="405">
        <v>1745</v>
      </c>
      <c r="L39" s="289"/>
      <c r="O39" s="252"/>
      <c r="P39" s="252"/>
      <c r="Q39" s="252"/>
      <c r="R39" s="252"/>
      <c r="S39" s="252"/>
      <c r="T39" s="253"/>
      <c r="U39" s="253"/>
    </row>
    <row r="40" spans="1:21" s="148" customFormat="1" x14ac:dyDescent="0.25">
      <c r="A40" s="213"/>
      <c r="B40" s="254"/>
      <c r="C40" s="262"/>
      <c r="D40" s="268"/>
      <c r="E40" s="264"/>
      <c r="F40" s="269"/>
      <c r="G40" s="269"/>
      <c r="H40" s="270"/>
      <c r="I40" s="265"/>
      <c r="J40" s="454"/>
      <c r="K40" s="266"/>
      <c r="L40" s="251"/>
      <c r="O40" s="279"/>
      <c r="P40" s="279"/>
      <c r="Q40" s="279"/>
      <c r="R40" s="279"/>
      <c r="S40" s="279"/>
      <c r="T40" s="280"/>
      <c r="U40" s="280"/>
    </row>
    <row r="41" spans="1:21" s="148" customFormat="1" x14ac:dyDescent="0.25">
      <c r="A41" s="213"/>
      <c r="B41" s="243" t="s">
        <v>159</v>
      </c>
      <c r="C41" s="262"/>
      <c r="D41" s="290"/>
      <c r="E41" s="264"/>
      <c r="F41" s="269"/>
      <c r="G41" s="269"/>
      <c r="H41" s="270"/>
      <c r="I41" s="249"/>
      <c r="J41" s="453"/>
      <c r="K41" s="250"/>
      <c r="L41" s="251"/>
      <c r="O41" s="252"/>
      <c r="P41" s="252"/>
      <c r="Q41" s="252"/>
      <c r="R41" s="252"/>
      <c r="S41" s="252"/>
      <c r="T41" s="253"/>
      <c r="U41" s="253"/>
    </row>
    <row r="42" spans="1:21" ht="28.8" x14ac:dyDescent="0.25">
      <c r="A42" s="213"/>
      <c r="B42" s="333" t="s">
        <v>105</v>
      </c>
      <c r="C42" s="262">
        <v>191.91</v>
      </c>
      <c r="D42" s="268">
        <v>2</v>
      </c>
      <c r="E42" s="264"/>
      <c r="F42" s="269"/>
      <c r="G42" s="269"/>
      <c r="H42" s="281">
        <f>C42*D42</f>
        <v>383.82</v>
      </c>
      <c r="I42" s="249"/>
      <c r="J42" s="453"/>
      <c r="K42" s="219"/>
      <c r="L42" s="334" t="s">
        <v>106</v>
      </c>
      <c r="N42" s="104"/>
      <c r="O42" s="104"/>
      <c r="P42" s="104"/>
      <c r="Q42" s="104"/>
      <c r="R42" s="104"/>
      <c r="S42" s="104"/>
      <c r="T42" s="104"/>
    </row>
    <row r="43" spans="1:21" ht="31.35" customHeight="1" x14ac:dyDescent="0.25">
      <c r="A43" s="213"/>
      <c r="B43" s="254" t="s">
        <v>96</v>
      </c>
      <c r="C43" s="262">
        <v>55</v>
      </c>
      <c r="D43" s="268">
        <v>5</v>
      </c>
      <c r="E43" s="268"/>
      <c r="F43" s="268"/>
      <c r="G43" s="264"/>
      <c r="H43" s="281">
        <f>C43*D43</f>
        <v>275</v>
      </c>
      <c r="I43" s="218"/>
      <c r="J43" s="457"/>
      <c r="K43" s="219"/>
      <c r="L43" s="251"/>
      <c r="N43" s="104"/>
      <c r="O43" s="104"/>
      <c r="P43" s="104"/>
      <c r="Q43" s="104"/>
      <c r="R43" s="104"/>
      <c r="S43" s="104"/>
      <c r="T43" s="104"/>
    </row>
    <row r="44" spans="1:21" x14ac:dyDescent="0.25">
      <c r="A44" s="213"/>
      <c r="B44" s="321" t="s">
        <v>97</v>
      </c>
      <c r="C44" s="262">
        <v>110</v>
      </c>
      <c r="D44" s="268"/>
      <c r="E44" s="268"/>
      <c r="F44" s="268"/>
      <c r="G44" s="264"/>
      <c r="H44" s="281">
        <f>C44</f>
        <v>110</v>
      </c>
      <c r="I44" s="218"/>
      <c r="J44" s="457"/>
      <c r="K44" s="219"/>
      <c r="L44" s="251"/>
      <c r="N44" s="104"/>
      <c r="O44" s="104"/>
      <c r="P44" s="104"/>
      <c r="Q44" s="104"/>
      <c r="R44" s="104"/>
      <c r="S44" s="104"/>
      <c r="T44" s="104"/>
    </row>
    <row r="45" spans="1:21" ht="24.6" customHeight="1" x14ac:dyDescent="0.25">
      <c r="A45" s="213"/>
      <c r="B45" s="254" t="s">
        <v>98</v>
      </c>
      <c r="C45" s="262"/>
      <c r="D45" s="268"/>
      <c r="E45" s="268"/>
      <c r="F45" s="268"/>
      <c r="G45" s="264"/>
      <c r="H45" s="281">
        <v>50</v>
      </c>
      <c r="I45" s="218"/>
      <c r="J45" s="457"/>
      <c r="K45" s="219"/>
      <c r="L45" s="251"/>
      <c r="M45" s="148"/>
      <c r="N45" s="104"/>
      <c r="O45" s="104"/>
      <c r="P45" s="104"/>
      <c r="Q45" s="104"/>
      <c r="R45" s="104"/>
      <c r="S45" s="104"/>
      <c r="T45" s="104"/>
    </row>
    <row r="46" spans="1:21" ht="21" customHeight="1" x14ac:dyDescent="0.25">
      <c r="A46" s="213"/>
      <c r="B46" s="321" t="s">
        <v>99</v>
      </c>
      <c r="C46" s="262"/>
      <c r="D46" s="268"/>
      <c r="E46" s="268"/>
      <c r="F46" s="268"/>
      <c r="G46" s="264"/>
      <c r="H46" s="281">
        <v>200</v>
      </c>
      <c r="I46" s="218"/>
      <c r="J46" s="457"/>
      <c r="K46" s="219"/>
      <c r="L46" s="251"/>
      <c r="N46" s="104"/>
      <c r="O46" s="104"/>
      <c r="P46" s="104"/>
      <c r="Q46" s="104"/>
      <c r="R46" s="104"/>
      <c r="S46" s="104"/>
      <c r="T46" s="104"/>
    </row>
    <row r="47" spans="1:21" x14ac:dyDescent="0.25">
      <c r="A47" s="213"/>
      <c r="B47" s="321" t="s">
        <v>100</v>
      </c>
      <c r="C47" s="221">
        <v>3.9399999999999998E-2</v>
      </c>
      <c r="D47" s="222"/>
      <c r="E47" s="222"/>
      <c r="F47" s="222"/>
      <c r="G47" s="223"/>
      <c r="H47" s="224">
        <f>+SUM(H42:H46)*0.0394</f>
        <v>40.141507999999995</v>
      </c>
      <c r="I47" s="218"/>
      <c r="J47" s="457"/>
      <c r="K47" s="219"/>
      <c r="L47" s="251"/>
      <c r="N47" s="104"/>
      <c r="O47" s="104"/>
      <c r="P47" s="104"/>
      <c r="Q47" s="104"/>
      <c r="R47" s="104"/>
      <c r="S47" s="104"/>
      <c r="T47" s="104"/>
    </row>
    <row r="48" spans="1:21" ht="13.8" thickBot="1" x14ac:dyDescent="0.3">
      <c r="A48" s="213"/>
      <c r="B48" s="345" t="s">
        <v>160</v>
      </c>
      <c r="C48" s="291"/>
      <c r="D48" s="292"/>
      <c r="E48" s="293"/>
      <c r="F48" s="294"/>
      <c r="G48" s="294"/>
      <c r="H48" s="295"/>
      <c r="I48" s="296">
        <f>SUM(H42:H47)</f>
        <v>1058.9615079999999</v>
      </c>
      <c r="J48" s="458"/>
      <c r="K48" s="405">
        <v>1059</v>
      </c>
      <c r="L48" s="335"/>
      <c r="N48" s="104"/>
      <c r="O48" s="104"/>
      <c r="P48" s="104"/>
      <c r="Q48" s="104"/>
      <c r="R48" s="104"/>
      <c r="S48" s="104"/>
      <c r="T48" s="104"/>
    </row>
    <row r="49" spans="1:20" ht="13.8" thickBot="1" x14ac:dyDescent="0.3">
      <c r="A49" s="213"/>
      <c r="B49" s="336" t="s">
        <v>154</v>
      </c>
      <c r="C49" s="337">
        <f>+I49/I102</f>
        <v>9.0978801231804948E-2</v>
      </c>
      <c r="D49" s="338"/>
      <c r="E49" s="338"/>
      <c r="F49" s="338"/>
      <c r="G49" s="339" t="s">
        <v>101</v>
      </c>
      <c r="H49" s="340"/>
      <c r="I49" s="341">
        <f>+I48+I39+I18</f>
        <v>8391.5230625559998</v>
      </c>
      <c r="J49" s="459"/>
      <c r="K49" s="478">
        <v>8393</v>
      </c>
      <c r="L49" s="479" t="s">
        <v>203</v>
      </c>
      <c r="N49" s="104"/>
      <c r="O49" s="104"/>
      <c r="P49" s="104"/>
      <c r="Q49" s="104"/>
      <c r="R49" s="104"/>
      <c r="S49" s="104"/>
      <c r="T49" s="104"/>
    </row>
    <row r="50" spans="1:20" ht="13.8" thickBot="1" x14ac:dyDescent="0.3">
      <c r="A50" s="561" t="s">
        <v>1</v>
      </c>
      <c r="B50" s="571" t="s">
        <v>0</v>
      </c>
      <c r="C50" s="572"/>
      <c r="D50" s="573"/>
      <c r="E50" s="573"/>
      <c r="F50" s="573"/>
      <c r="G50" s="573"/>
      <c r="H50" s="573"/>
      <c r="I50" s="573"/>
      <c r="J50" s="573"/>
      <c r="K50" s="573"/>
      <c r="L50" s="574"/>
      <c r="M50" s="105"/>
      <c r="N50" s="106"/>
      <c r="O50" s="106"/>
      <c r="P50" s="106"/>
      <c r="Q50" s="106"/>
      <c r="R50" s="106"/>
      <c r="S50" s="106"/>
      <c r="T50" s="106"/>
    </row>
    <row r="51" spans="1:20" ht="27" thickBot="1" x14ac:dyDescent="0.3">
      <c r="A51" s="562"/>
      <c r="B51" s="550"/>
      <c r="C51" s="566" t="s">
        <v>8</v>
      </c>
      <c r="D51" s="567"/>
      <c r="E51" s="567"/>
      <c r="F51" s="567"/>
      <c r="G51" s="568"/>
      <c r="H51" s="156" t="s">
        <v>2</v>
      </c>
      <c r="I51" s="12" t="s">
        <v>37</v>
      </c>
      <c r="J51" s="50" t="s">
        <v>17</v>
      </c>
      <c r="K51" s="408" t="s">
        <v>202</v>
      </c>
      <c r="L51" s="35" t="s">
        <v>9</v>
      </c>
      <c r="N51" s="104"/>
      <c r="O51" s="104"/>
      <c r="P51" s="104"/>
      <c r="Q51" s="104"/>
      <c r="R51" s="104"/>
      <c r="S51" s="104"/>
      <c r="T51" s="104"/>
    </row>
    <row r="52" spans="1:20" ht="26.4" x14ac:dyDescent="0.25">
      <c r="A52" s="559" t="s">
        <v>10</v>
      </c>
      <c r="B52" s="46" t="s">
        <v>14</v>
      </c>
      <c r="C52" s="244" t="s">
        <v>116</v>
      </c>
      <c r="D52" s="245" t="s">
        <v>117</v>
      </c>
      <c r="E52" s="246" t="s">
        <v>118</v>
      </c>
      <c r="F52" s="247" t="s">
        <v>119</v>
      </c>
      <c r="G52" s="247" t="s">
        <v>120</v>
      </c>
      <c r="H52" s="4"/>
      <c r="I52" s="24"/>
      <c r="J52" s="460"/>
      <c r="K52" s="403"/>
      <c r="L52" s="188"/>
      <c r="N52" s="104"/>
      <c r="O52" s="104"/>
      <c r="P52" s="104"/>
      <c r="Q52" s="104"/>
      <c r="R52" s="104"/>
      <c r="S52" s="104"/>
      <c r="T52" s="104"/>
    </row>
    <row r="53" spans="1:20" ht="92.4" x14ac:dyDescent="0.25">
      <c r="A53" s="560"/>
      <c r="B53" s="65" t="s">
        <v>163</v>
      </c>
      <c r="C53" s="375">
        <v>45.4</v>
      </c>
      <c r="D53" s="376">
        <f>10.5+0.95</f>
        <v>11.45</v>
      </c>
      <c r="E53" s="377">
        <v>17.399999999999999</v>
      </c>
      <c r="F53" s="171">
        <v>1</v>
      </c>
      <c r="G53" s="172"/>
      <c r="H53" s="131">
        <f>+C53*D53*E53*F53+G53</f>
        <v>9045.0419999999976</v>
      </c>
      <c r="I53" s="401"/>
      <c r="J53" s="461"/>
      <c r="K53" s="403"/>
      <c r="L53" s="82" t="s">
        <v>167</v>
      </c>
      <c r="N53" s="104"/>
      <c r="O53" s="104"/>
      <c r="P53" s="104"/>
      <c r="Q53" s="104"/>
      <c r="R53" s="104"/>
      <c r="S53" s="104"/>
      <c r="T53" s="104"/>
    </row>
    <row r="54" spans="1:20" ht="46.5" customHeight="1" x14ac:dyDescent="0.25">
      <c r="A54" s="560"/>
      <c r="B54" s="65" t="s">
        <v>164</v>
      </c>
      <c r="C54" s="383">
        <v>30.87</v>
      </c>
      <c r="D54" s="263">
        <v>0.55000000000000004</v>
      </c>
      <c r="E54" s="377">
        <v>17.399999999999999</v>
      </c>
      <c r="F54" s="171">
        <v>1</v>
      </c>
      <c r="G54" s="172"/>
      <c r="H54" s="131">
        <f>+C54*D54*E54*F54+G54</f>
        <v>295.42589999999996</v>
      </c>
      <c r="I54" s="401"/>
      <c r="J54" s="461"/>
      <c r="K54" s="403"/>
      <c r="L54" s="385" t="s">
        <v>193</v>
      </c>
      <c r="N54" s="384"/>
      <c r="O54" s="104"/>
      <c r="P54" s="104"/>
      <c r="Q54" s="104"/>
      <c r="R54" s="104"/>
      <c r="S54" s="104"/>
      <c r="T54" s="104"/>
    </row>
    <row r="55" spans="1:20" ht="40.200000000000003" x14ac:dyDescent="0.3">
      <c r="A55" s="560"/>
      <c r="B55" s="21" t="s">
        <v>90</v>
      </c>
      <c r="C55" s="378">
        <v>34.880000000000003</v>
      </c>
      <c r="D55" s="379">
        <v>35</v>
      </c>
      <c r="E55" s="380">
        <v>17.399999999999999</v>
      </c>
      <c r="F55" s="379">
        <v>1</v>
      </c>
      <c r="G55" s="381"/>
      <c r="H55" s="413">
        <f t="shared" ref="H55:H56" si="9">+C55*D55*E55*F55+G55</f>
        <v>21241.920000000002</v>
      </c>
      <c r="I55" s="120"/>
      <c r="J55" s="418"/>
      <c r="K55" s="403"/>
      <c r="L55" s="100" t="s">
        <v>83</v>
      </c>
      <c r="M55" s="148"/>
      <c r="N55" s="104"/>
      <c r="O55" s="104"/>
      <c r="P55" s="104"/>
      <c r="Q55" s="104"/>
      <c r="R55" s="104"/>
      <c r="S55" s="104"/>
      <c r="T55" s="104"/>
    </row>
    <row r="56" spans="1:20" ht="105.6" x14ac:dyDescent="0.25">
      <c r="A56" s="560"/>
      <c r="B56" s="204" t="s">
        <v>89</v>
      </c>
      <c r="C56" s="375">
        <v>29.93</v>
      </c>
      <c r="D56" s="197">
        <v>35</v>
      </c>
      <c r="E56" s="382">
        <v>17.399999999999999</v>
      </c>
      <c r="F56" s="197">
        <v>1</v>
      </c>
      <c r="G56" s="198"/>
      <c r="H56" s="199">
        <f t="shared" si="9"/>
        <v>18227.37</v>
      </c>
      <c r="I56" s="200"/>
      <c r="J56" s="419"/>
      <c r="K56" s="403"/>
      <c r="L56" s="201" t="s">
        <v>91</v>
      </c>
      <c r="M56" s="148"/>
      <c r="N56" s="104"/>
      <c r="O56" s="104"/>
      <c r="P56" s="104"/>
      <c r="Q56" s="104"/>
      <c r="R56" s="104"/>
      <c r="S56" s="104"/>
      <c r="T56" s="104"/>
    </row>
    <row r="57" spans="1:20" ht="26.4" x14ac:dyDescent="0.25">
      <c r="A57" s="560"/>
      <c r="B57" s="61" t="s">
        <v>15</v>
      </c>
      <c r="C57" s="323">
        <v>0.1376</v>
      </c>
      <c r="D57" s="101"/>
      <c r="E57" s="101"/>
      <c r="F57" s="101"/>
      <c r="G57" s="99"/>
      <c r="H57" s="346">
        <f>SUM(H53:H56)*C57</f>
        <v>6716.22268704</v>
      </c>
      <c r="I57" s="119"/>
      <c r="J57" s="420"/>
      <c r="K57" s="403"/>
      <c r="L57" s="89" t="s">
        <v>180</v>
      </c>
      <c r="M57" s="105"/>
    </row>
    <row r="58" spans="1:20" x14ac:dyDescent="0.25">
      <c r="A58" s="560"/>
      <c r="B58" s="21"/>
      <c r="C58" s="47"/>
      <c r="D58" s="96"/>
      <c r="E58" s="96"/>
      <c r="F58" s="96"/>
      <c r="G58" s="93"/>
      <c r="H58" s="121" t="s">
        <v>16</v>
      </c>
      <c r="I58" s="122">
        <f>SUM(H52:H57)</f>
        <v>55525.980587039994</v>
      </c>
      <c r="J58" s="433"/>
      <c r="K58" s="403">
        <v>55526</v>
      </c>
      <c r="L58" s="97"/>
    </row>
    <row r="59" spans="1:20" x14ac:dyDescent="0.25">
      <c r="A59" s="560"/>
      <c r="B59" s="21"/>
      <c r="C59" s="47"/>
      <c r="D59" s="96"/>
      <c r="E59" s="96"/>
      <c r="F59" s="96"/>
      <c r="G59" s="93"/>
      <c r="H59" s="121"/>
      <c r="I59" s="122"/>
      <c r="J59" s="433"/>
      <c r="K59" s="403"/>
      <c r="L59" s="97"/>
    </row>
    <row r="60" spans="1:20" x14ac:dyDescent="0.25">
      <c r="A60" s="560"/>
      <c r="B60" s="46" t="s">
        <v>18</v>
      </c>
      <c r="C60" s="47"/>
      <c r="D60" s="96"/>
      <c r="E60" s="96"/>
      <c r="F60" s="96"/>
      <c r="G60" s="93"/>
      <c r="H60" s="121"/>
      <c r="I60" s="122"/>
      <c r="J60" s="433"/>
      <c r="K60" s="403"/>
      <c r="L60" s="97"/>
    </row>
    <row r="61" spans="1:20" ht="39.6" x14ac:dyDescent="0.25">
      <c r="A61" s="560"/>
      <c r="B61" s="61" t="s">
        <v>19</v>
      </c>
      <c r="C61" s="62">
        <v>60</v>
      </c>
      <c r="D61" s="63">
        <v>4</v>
      </c>
      <c r="E61" s="144"/>
      <c r="F61" s="144"/>
      <c r="G61" s="64"/>
      <c r="H61" s="123">
        <f>C61*D61</f>
        <v>240</v>
      </c>
      <c r="I61" s="124"/>
      <c r="J61" s="434"/>
      <c r="K61" s="403"/>
      <c r="L61" s="82" t="s">
        <v>77</v>
      </c>
    </row>
    <row r="62" spans="1:20" x14ac:dyDescent="0.25">
      <c r="A62" s="560"/>
      <c r="B62" s="21"/>
      <c r="C62" s="47"/>
      <c r="D62" s="388"/>
      <c r="E62" s="145"/>
      <c r="F62" s="145"/>
      <c r="G62" s="19"/>
      <c r="H62" s="125" t="s">
        <v>20</v>
      </c>
      <c r="I62" s="126">
        <f>SUM(H61:H61)</f>
        <v>240</v>
      </c>
      <c r="J62" s="435"/>
      <c r="K62" s="403">
        <v>240</v>
      </c>
      <c r="L62" s="49"/>
    </row>
    <row r="63" spans="1:20" x14ac:dyDescent="0.25">
      <c r="A63" s="560"/>
      <c r="B63" s="21"/>
      <c r="C63" s="47"/>
      <c r="D63" s="388"/>
      <c r="E63" s="145"/>
      <c r="F63" s="145"/>
      <c r="G63" s="19"/>
      <c r="H63" s="125"/>
      <c r="I63" s="126"/>
      <c r="J63" s="435"/>
      <c r="K63" s="403"/>
      <c r="L63" s="49"/>
    </row>
    <row r="64" spans="1:20" x14ac:dyDescent="0.25">
      <c r="A64" s="560"/>
      <c r="B64" s="46" t="s">
        <v>21</v>
      </c>
      <c r="C64" s="47"/>
      <c r="D64" s="388"/>
      <c r="E64" s="145"/>
      <c r="F64" s="145"/>
      <c r="G64" s="19"/>
      <c r="H64" s="125"/>
      <c r="I64" s="126"/>
      <c r="J64" s="435"/>
      <c r="K64" s="403"/>
      <c r="L64" s="49"/>
    </row>
    <row r="65" spans="1:19" ht="52.8" x14ac:dyDescent="0.25">
      <c r="A65" s="560"/>
      <c r="B65" s="59" t="s">
        <v>22</v>
      </c>
      <c r="C65" s="62">
        <v>50</v>
      </c>
      <c r="D65" s="63">
        <v>4</v>
      </c>
      <c r="E65" s="144"/>
      <c r="F65" s="144"/>
      <c r="G65" s="60"/>
      <c r="H65" s="123">
        <f>C65*D65</f>
        <v>200</v>
      </c>
      <c r="I65" s="127"/>
      <c r="J65" s="434">
        <v>200</v>
      </c>
      <c r="K65" s="403"/>
      <c r="L65" s="48" t="s">
        <v>102</v>
      </c>
    </row>
    <row r="66" spans="1:19" ht="26.4" x14ac:dyDescent="0.25">
      <c r="A66" s="560"/>
      <c r="B66" s="61" t="s">
        <v>23</v>
      </c>
      <c r="C66" s="62">
        <v>70</v>
      </c>
      <c r="D66" s="63">
        <v>4</v>
      </c>
      <c r="E66" s="144"/>
      <c r="F66" s="144"/>
      <c r="G66" s="64"/>
      <c r="H66" s="123">
        <f>C66*D66</f>
        <v>280</v>
      </c>
      <c r="I66" s="124"/>
      <c r="J66" s="434">
        <v>280</v>
      </c>
      <c r="K66" s="403"/>
      <c r="L66" s="48" t="s">
        <v>157</v>
      </c>
    </row>
    <row r="67" spans="1:19" x14ac:dyDescent="0.25">
      <c r="A67" s="560"/>
      <c r="B67" s="21"/>
      <c r="C67" s="47"/>
      <c r="D67" s="18"/>
      <c r="E67" s="18"/>
      <c r="F67" s="18"/>
      <c r="G67" s="19"/>
      <c r="H67" s="125" t="s">
        <v>24</v>
      </c>
      <c r="I67" s="126">
        <f>SUM(H65:H66)</f>
        <v>480</v>
      </c>
      <c r="J67" s="435"/>
      <c r="K67" s="403">
        <v>480</v>
      </c>
      <c r="L67" s="49"/>
    </row>
    <row r="68" spans="1:19" x14ac:dyDescent="0.25">
      <c r="A68" s="560"/>
      <c r="B68" s="21"/>
      <c r="C68" s="47"/>
      <c r="D68" s="18"/>
      <c r="E68" s="18"/>
      <c r="F68" s="18"/>
      <c r="G68" s="19"/>
      <c r="H68" s="128"/>
      <c r="I68" s="126"/>
      <c r="J68" s="435"/>
      <c r="K68" s="403"/>
      <c r="L68" s="49"/>
    </row>
    <row r="69" spans="1:19" x14ac:dyDescent="0.25">
      <c r="A69" s="560"/>
      <c r="B69" s="46" t="s">
        <v>38</v>
      </c>
      <c r="C69" s="47"/>
      <c r="D69" s="18"/>
      <c r="E69" s="18"/>
      <c r="F69" s="18"/>
      <c r="G69" s="19"/>
      <c r="H69" s="128"/>
      <c r="I69" s="126"/>
      <c r="J69" s="435"/>
      <c r="K69" s="403"/>
      <c r="L69" s="49"/>
    </row>
    <row r="70" spans="1:19" x14ac:dyDescent="0.25">
      <c r="A70" s="560"/>
      <c r="B70" s="46"/>
      <c r="C70" s="47"/>
      <c r="D70" s="18"/>
      <c r="E70" s="18"/>
      <c r="F70" s="18"/>
      <c r="G70" s="19"/>
      <c r="H70" s="128"/>
      <c r="I70" s="126"/>
      <c r="J70" s="435"/>
      <c r="K70" s="403"/>
      <c r="L70" s="49"/>
    </row>
    <row r="71" spans="1:19" ht="39.6" x14ac:dyDescent="0.25">
      <c r="A71" s="560"/>
      <c r="B71" s="61" t="s">
        <v>85</v>
      </c>
      <c r="C71" s="62">
        <v>40</v>
      </c>
      <c r="D71" s="63">
        <v>3</v>
      </c>
      <c r="E71" s="63"/>
      <c r="F71" s="63"/>
      <c r="G71" s="64"/>
      <c r="H71" s="123">
        <f>C71*D71</f>
        <v>120</v>
      </c>
      <c r="I71" s="124"/>
      <c r="J71" s="434">
        <v>120</v>
      </c>
      <c r="K71" s="403"/>
      <c r="L71" s="48" t="s">
        <v>170</v>
      </c>
    </row>
    <row r="72" spans="1:19" ht="39.6" x14ac:dyDescent="0.25">
      <c r="A72" s="560"/>
      <c r="B72" s="81" t="s">
        <v>84</v>
      </c>
      <c r="C72" s="167">
        <v>30</v>
      </c>
      <c r="D72" s="393">
        <v>10</v>
      </c>
      <c r="E72" s="190"/>
      <c r="F72" s="190"/>
      <c r="G72" s="191"/>
      <c r="H72" s="399">
        <f>C72*D72</f>
        <v>300</v>
      </c>
      <c r="I72" s="124"/>
      <c r="J72" s="434"/>
      <c r="K72" s="403"/>
      <c r="L72" s="48" t="s">
        <v>195</v>
      </c>
    </row>
    <row r="73" spans="1:19" x14ac:dyDescent="0.25">
      <c r="A73" s="560"/>
      <c r="B73" s="21"/>
      <c r="C73" s="192"/>
      <c r="D73" s="193"/>
      <c r="E73" s="193"/>
      <c r="F73" s="193"/>
      <c r="G73" s="194"/>
      <c r="H73" s="125" t="s">
        <v>39</v>
      </c>
      <c r="I73" s="126">
        <f>SUM(H71:H72)</f>
        <v>420</v>
      </c>
      <c r="J73" s="435"/>
      <c r="K73" s="403">
        <v>420</v>
      </c>
      <c r="L73" s="48"/>
    </row>
    <row r="74" spans="1:19" x14ac:dyDescent="0.25">
      <c r="A74" s="560"/>
      <c r="B74" s="21"/>
      <c r="C74" s="192"/>
      <c r="D74" s="193"/>
      <c r="E74" s="193"/>
      <c r="F74" s="193"/>
      <c r="G74" s="194"/>
      <c r="H74" s="128"/>
      <c r="I74" s="126"/>
      <c r="J74" s="435"/>
      <c r="K74" s="403"/>
      <c r="L74" s="48"/>
    </row>
    <row r="75" spans="1:19" x14ac:dyDescent="0.25">
      <c r="A75" s="560"/>
      <c r="B75" s="21"/>
      <c r="C75" s="192"/>
      <c r="D75" s="193"/>
      <c r="E75" s="193"/>
      <c r="F75" s="193"/>
      <c r="G75" s="194"/>
      <c r="H75" s="128"/>
      <c r="I75" s="126"/>
      <c r="J75" s="435"/>
      <c r="K75" s="403"/>
      <c r="L75" s="48"/>
    </row>
    <row r="76" spans="1:19" x14ac:dyDescent="0.25">
      <c r="A76" s="560"/>
      <c r="B76" s="46" t="s">
        <v>25</v>
      </c>
      <c r="C76" s="192"/>
      <c r="D76" s="193"/>
      <c r="E76" s="193"/>
      <c r="F76" s="193"/>
      <c r="G76" s="194"/>
      <c r="H76" s="128"/>
      <c r="I76" s="126"/>
      <c r="J76" s="435"/>
      <c r="K76" s="403"/>
      <c r="L76" s="195"/>
    </row>
    <row r="77" spans="1:19" ht="169.5" customHeight="1" x14ac:dyDescent="0.25">
      <c r="A77" s="560"/>
      <c r="B77" s="65" t="s">
        <v>79</v>
      </c>
      <c r="C77" s="167">
        <v>120</v>
      </c>
      <c r="D77" s="393">
        <v>123</v>
      </c>
      <c r="E77" s="190"/>
      <c r="F77" s="190"/>
      <c r="G77" s="191"/>
      <c r="H77" s="123">
        <f>C77*D77</f>
        <v>14760</v>
      </c>
      <c r="I77" s="124"/>
      <c r="J77" s="477">
        <v>14760</v>
      </c>
      <c r="K77" s="403"/>
      <c r="L77" s="395" t="s">
        <v>200</v>
      </c>
      <c r="M77" s="394"/>
      <c r="R77" s="103"/>
    </row>
    <row r="78" spans="1:19" ht="118.8" x14ac:dyDescent="0.25">
      <c r="A78" s="560"/>
      <c r="B78" s="65" t="s">
        <v>209</v>
      </c>
      <c r="C78" s="196"/>
      <c r="D78" s="197"/>
      <c r="E78" s="197"/>
      <c r="F78" s="197"/>
      <c r="G78" s="198"/>
      <c r="H78" s="199">
        <f>(420*22.8)+2000</f>
        <v>11576</v>
      </c>
      <c r="I78" s="200"/>
      <c r="J78" s="419"/>
      <c r="K78" s="403"/>
      <c r="L78" s="201" t="s">
        <v>169</v>
      </c>
      <c r="M78" s="226"/>
      <c r="S78" s="102">
        <f>560-413</f>
        <v>147</v>
      </c>
    </row>
    <row r="79" spans="1:19" ht="26.4" x14ac:dyDescent="0.25">
      <c r="A79" s="560"/>
      <c r="B79" s="65" t="s">
        <v>60</v>
      </c>
      <c r="C79" s="170">
        <v>120</v>
      </c>
      <c r="D79" s="202">
        <v>40</v>
      </c>
      <c r="E79" s="202"/>
      <c r="F79" s="202"/>
      <c r="G79" s="203"/>
      <c r="H79" s="131">
        <f>C79*D79</f>
        <v>4800</v>
      </c>
      <c r="I79" s="124"/>
      <c r="J79" s="434">
        <v>4800</v>
      </c>
      <c r="K79" s="403"/>
      <c r="L79" s="48" t="s">
        <v>78</v>
      </c>
      <c r="S79" s="102">
        <f>147*20</f>
        <v>2940</v>
      </c>
    </row>
    <row r="80" spans="1:19" ht="13.8" x14ac:dyDescent="0.25">
      <c r="A80" s="560"/>
      <c r="B80" s="21"/>
      <c r="C80" s="47"/>
      <c r="D80" s="18"/>
      <c r="E80" s="18"/>
      <c r="F80" s="18"/>
      <c r="G80" s="19"/>
      <c r="H80" s="125" t="s">
        <v>27</v>
      </c>
      <c r="I80" s="126">
        <f>SUM(H77:H79)</f>
        <v>31136</v>
      </c>
      <c r="J80" s="435"/>
      <c r="K80" s="403">
        <v>31136</v>
      </c>
      <c r="L80" s="37"/>
      <c r="M80" s="107"/>
      <c r="O80" s="148"/>
      <c r="S80" s="148">
        <f>13500-2940</f>
        <v>10560</v>
      </c>
    </row>
    <row r="81" spans="1:23" ht="13.8" x14ac:dyDescent="0.25">
      <c r="A81" s="560"/>
      <c r="B81" s="21"/>
      <c r="C81" s="47"/>
      <c r="D81" s="18"/>
      <c r="E81" s="18"/>
      <c r="F81" s="18"/>
      <c r="G81" s="19"/>
      <c r="H81" s="125"/>
      <c r="I81" s="126"/>
      <c r="J81" s="435"/>
      <c r="K81" s="403"/>
      <c r="L81" s="37"/>
      <c r="N81" s="108"/>
      <c r="O81" s="108"/>
    </row>
    <row r="82" spans="1:23" ht="13.8" x14ac:dyDescent="0.25">
      <c r="A82" s="560"/>
      <c r="B82" s="46" t="s">
        <v>40</v>
      </c>
      <c r="C82" s="47"/>
      <c r="D82" s="18"/>
      <c r="E82" s="18"/>
      <c r="F82" s="18"/>
      <c r="G82" s="19"/>
      <c r="H82" s="125"/>
      <c r="I82" s="126"/>
      <c r="J82" s="435"/>
      <c r="K82" s="403"/>
      <c r="L82" s="37"/>
      <c r="N82" s="108"/>
      <c r="O82" s="108"/>
    </row>
    <row r="83" spans="1:23" ht="13.8" x14ac:dyDescent="0.25">
      <c r="A83" s="560"/>
      <c r="B83" s="21" t="s">
        <v>26</v>
      </c>
      <c r="C83" s="47">
        <v>100</v>
      </c>
      <c r="D83" s="69">
        <v>2</v>
      </c>
      <c r="E83" s="69"/>
      <c r="F83" s="69"/>
      <c r="G83" s="19"/>
      <c r="H83" s="128">
        <f>C83*D83</f>
        <v>200</v>
      </c>
      <c r="I83" s="126"/>
      <c r="J83" s="435"/>
      <c r="K83" s="403"/>
      <c r="L83" s="48"/>
      <c r="N83" s="108"/>
      <c r="O83" s="108"/>
    </row>
    <row r="84" spans="1:23" ht="13.8" x14ac:dyDescent="0.25">
      <c r="A84" s="560"/>
      <c r="B84" s="21"/>
      <c r="C84" s="47"/>
      <c r="D84" s="18"/>
      <c r="E84" s="18"/>
      <c r="F84" s="18"/>
      <c r="G84" s="19"/>
      <c r="H84" s="125" t="s">
        <v>41</v>
      </c>
      <c r="I84" s="126">
        <f>SUM(H83:H83)</f>
        <v>200</v>
      </c>
      <c r="J84" s="435"/>
      <c r="K84" s="403">
        <v>200</v>
      </c>
      <c r="L84" s="37"/>
      <c r="N84" s="108"/>
      <c r="O84" s="108"/>
    </row>
    <row r="85" spans="1:23" ht="12" customHeight="1" x14ac:dyDescent="0.25">
      <c r="A85" s="560"/>
      <c r="B85" s="21"/>
      <c r="C85" s="47"/>
      <c r="D85" s="18"/>
      <c r="E85" s="18"/>
      <c r="F85" s="18"/>
      <c r="G85" s="19"/>
      <c r="H85" s="128"/>
      <c r="I85" s="126"/>
      <c r="J85" s="435"/>
      <c r="K85" s="403"/>
      <c r="L85" s="37"/>
    </row>
    <row r="86" spans="1:23" ht="12" customHeight="1" x14ac:dyDescent="0.25">
      <c r="A86" s="560"/>
      <c r="B86" s="21"/>
      <c r="C86" s="47"/>
      <c r="D86" s="18"/>
      <c r="E86" s="18"/>
      <c r="F86" s="18"/>
      <c r="G86" s="19"/>
      <c r="H86" s="128"/>
      <c r="I86" s="126"/>
      <c r="J86" s="435"/>
      <c r="K86" s="403"/>
      <c r="L86" s="37"/>
    </row>
    <row r="87" spans="1:23" x14ac:dyDescent="0.25">
      <c r="A87" s="560"/>
      <c r="B87" s="46" t="s">
        <v>28</v>
      </c>
      <c r="C87" s="47"/>
      <c r="D87" s="18"/>
      <c r="E87" s="18"/>
      <c r="F87" s="18"/>
      <c r="G87" s="19"/>
      <c r="H87" s="128"/>
      <c r="I87" s="126"/>
      <c r="J87" s="435"/>
      <c r="K87" s="403"/>
      <c r="L87" s="37"/>
    </row>
    <row r="88" spans="1:23" x14ac:dyDescent="0.25">
      <c r="A88" s="560"/>
      <c r="B88" s="71" t="s">
        <v>42</v>
      </c>
      <c r="C88" s="66"/>
      <c r="D88" s="70"/>
      <c r="E88" s="70"/>
      <c r="F88" s="70"/>
      <c r="G88" s="67"/>
      <c r="H88" s="128">
        <f>C88*D88</f>
        <v>0</v>
      </c>
      <c r="I88" s="124"/>
      <c r="J88" s="434"/>
      <c r="K88" s="403"/>
      <c r="L88" s="48"/>
    </row>
    <row r="89" spans="1:23" x14ac:dyDescent="0.25">
      <c r="A89" s="560"/>
      <c r="B89" s="21"/>
      <c r="C89" s="47"/>
      <c r="D89" s="18"/>
      <c r="E89" s="18"/>
      <c r="F89" s="18"/>
      <c r="G89" s="19"/>
      <c r="H89" s="125" t="s">
        <v>29</v>
      </c>
      <c r="I89" s="126">
        <f>H88</f>
        <v>0</v>
      </c>
      <c r="J89" s="435"/>
      <c r="K89" s="403"/>
      <c r="L89" s="37"/>
    </row>
    <row r="90" spans="1:23" x14ac:dyDescent="0.25">
      <c r="A90" s="560"/>
      <c r="B90" s="21"/>
      <c r="C90" s="47"/>
      <c r="D90" s="193"/>
      <c r="E90" s="18"/>
      <c r="F90" s="18"/>
      <c r="G90" s="19"/>
      <c r="H90" s="128"/>
      <c r="I90" s="126"/>
      <c r="J90" s="435"/>
      <c r="K90" s="403"/>
      <c r="L90" s="37"/>
    </row>
    <row r="91" spans="1:23" x14ac:dyDescent="0.25">
      <c r="A91" s="560"/>
      <c r="B91" s="46" t="s">
        <v>30</v>
      </c>
      <c r="C91" s="47"/>
      <c r="D91" s="193"/>
      <c r="E91" s="18"/>
      <c r="F91" s="18"/>
      <c r="G91" s="19"/>
      <c r="H91" s="128"/>
      <c r="I91" s="132"/>
      <c r="J91" s="436"/>
      <c r="K91" s="403"/>
      <c r="L91" s="37"/>
    </row>
    <row r="92" spans="1:23" ht="79.2" x14ac:dyDescent="0.25">
      <c r="A92" s="560"/>
      <c r="B92" s="65" t="s">
        <v>161</v>
      </c>
      <c r="C92" s="205">
        <f>+H92/D92</f>
        <v>372.84166666666658</v>
      </c>
      <c r="D92" s="202">
        <v>4</v>
      </c>
      <c r="E92" s="70"/>
      <c r="F92" s="70"/>
      <c r="G92" s="67"/>
      <c r="H92" s="131">
        <f>155*28.22/12*4+100/12*4</f>
        <v>1491.3666666666663</v>
      </c>
      <c r="I92" s="133"/>
      <c r="J92" s="420">
        <v>1491</v>
      </c>
      <c r="K92" s="403"/>
      <c r="L92" s="201" t="s">
        <v>184</v>
      </c>
      <c r="M92" s="105"/>
      <c r="W92" s="154"/>
    </row>
    <row r="93" spans="1:23" x14ac:dyDescent="0.25">
      <c r="A93" s="560"/>
      <c r="B93" s="161" t="s">
        <v>61</v>
      </c>
      <c r="C93" s="66"/>
      <c r="D93" s="202"/>
      <c r="E93" s="70"/>
      <c r="F93" s="70"/>
      <c r="G93" s="67"/>
      <c r="H93" s="123">
        <v>250</v>
      </c>
      <c r="I93" s="133"/>
      <c r="J93" s="420">
        <v>250</v>
      </c>
      <c r="K93" s="403"/>
      <c r="L93" s="242" t="s">
        <v>115</v>
      </c>
    </row>
    <row r="94" spans="1:23" ht="78.599999999999994" customHeight="1" x14ac:dyDescent="0.25">
      <c r="A94" s="560"/>
      <c r="B94" s="61" t="s">
        <v>31</v>
      </c>
      <c r="C94" s="62"/>
      <c r="D94" s="386"/>
      <c r="E94" s="83"/>
      <c r="F94" s="83"/>
      <c r="G94" s="64"/>
      <c r="H94" s="123">
        <f>(79*4)+(270*2)+100+35*2*4</f>
        <v>1236</v>
      </c>
      <c r="I94" s="124"/>
      <c r="J94" s="434">
        <v>1236</v>
      </c>
      <c r="K94" s="403"/>
      <c r="L94" s="201" t="s">
        <v>201</v>
      </c>
      <c r="M94" s="105"/>
    </row>
    <row r="95" spans="1:23" x14ac:dyDescent="0.25">
      <c r="A95" s="560"/>
      <c r="B95" s="21" t="s">
        <v>32</v>
      </c>
      <c r="C95" s="47">
        <v>8</v>
      </c>
      <c r="D95" s="387">
        <v>4</v>
      </c>
      <c r="E95" s="69"/>
      <c r="F95" s="69"/>
      <c r="G95" s="19"/>
      <c r="H95" s="128">
        <f>C95*D95</f>
        <v>32</v>
      </c>
      <c r="I95" s="126"/>
      <c r="J95" s="435">
        <v>32</v>
      </c>
      <c r="K95" s="403"/>
      <c r="L95" s="37"/>
    </row>
    <row r="96" spans="1:23" ht="52.8" x14ac:dyDescent="0.25">
      <c r="A96" s="560"/>
      <c r="B96" s="61" t="s">
        <v>33</v>
      </c>
      <c r="C96" s="62"/>
      <c r="D96" s="386"/>
      <c r="E96" s="83"/>
      <c r="F96" s="83"/>
      <c r="G96" s="64"/>
      <c r="H96" s="123">
        <v>300</v>
      </c>
      <c r="I96" s="124"/>
      <c r="J96" s="434">
        <v>300</v>
      </c>
      <c r="K96" s="403"/>
      <c r="L96" s="82" t="s">
        <v>107</v>
      </c>
      <c r="O96" s="162"/>
    </row>
    <row r="97" spans="1:12" x14ac:dyDescent="0.25">
      <c r="A97" s="560"/>
      <c r="B97" s="149"/>
      <c r="C97" s="47"/>
      <c r="D97" s="69"/>
      <c r="E97" s="69"/>
      <c r="F97" s="69"/>
      <c r="G97" s="19"/>
      <c r="H97" s="125" t="s">
        <v>34</v>
      </c>
      <c r="I97" s="126">
        <f>SUM(H92:H96)</f>
        <v>3309.3666666666663</v>
      </c>
      <c r="J97" s="435"/>
      <c r="K97" s="403">
        <v>3309</v>
      </c>
      <c r="L97" s="37"/>
    </row>
    <row r="98" spans="1:12" x14ac:dyDescent="0.25">
      <c r="A98" s="560"/>
      <c r="B98" s="21"/>
      <c r="C98" s="47"/>
      <c r="D98" s="18"/>
      <c r="E98" s="18"/>
      <c r="F98" s="18"/>
      <c r="G98" s="19"/>
      <c r="H98" s="128"/>
      <c r="I98" s="126"/>
      <c r="J98" s="435"/>
      <c r="K98" s="403"/>
      <c r="L98" s="37"/>
    </row>
    <row r="99" spans="1:12" x14ac:dyDescent="0.25">
      <c r="A99" s="560"/>
      <c r="B99" s="241" t="s">
        <v>69</v>
      </c>
      <c r="C99" s="91"/>
      <c r="D99" s="92">
        <v>3.9399999999999998E-2</v>
      </c>
      <c r="E99" s="92"/>
      <c r="F99" s="92"/>
      <c r="G99" s="93"/>
      <c r="H99" s="128">
        <f>J99*D99</f>
        <v>924.67859999999996</v>
      </c>
      <c r="I99" s="126"/>
      <c r="J99" s="435">
        <f>SUM(J52:J98)</f>
        <v>23469</v>
      </c>
      <c r="K99" s="403"/>
      <c r="L99" s="37"/>
    </row>
    <row r="100" spans="1:12" x14ac:dyDescent="0.25">
      <c r="A100" s="560"/>
      <c r="B100" s="21"/>
      <c r="C100" s="47"/>
      <c r="D100" s="18"/>
      <c r="E100" s="18"/>
      <c r="F100" s="18"/>
      <c r="G100" s="19"/>
      <c r="H100" s="134" t="s">
        <v>35</v>
      </c>
      <c r="I100" s="135">
        <f>H99</f>
        <v>924.67859999999996</v>
      </c>
      <c r="J100" s="437"/>
      <c r="K100" s="403">
        <v>925</v>
      </c>
      <c r="L100" s="37"/>
    </row>
    <row r="101" spans="1:12" ht="13.8" thickBot="1" x14ac:dyDescent="0.3">
      <c r="A101" s="560"/>
      <c r="B101" s="28"/>
      <c r="C101" s="7"/>
      <c r="D101" s="8"/>
      <c r="E101" s="8"/>
      <c r="F101" s="8"/>
      <c r="G101" s="9"/>
      <c r="H101" s="134"/>
      <c r="I101" s="136"/>
      <c r="J101" s="421"/>
      <c r="K101" s="404"/>
      <c r="L101" s="189"/>
    </row>
    <row r="102" spans="1:12" ht="13.8" thickBot="1" x14ac:dyDescent="0.3">
      <c r="A102" s="575"/>
      <c r="B102" s="2" t="s">
        <v>4</v>
      </c>
      <c r="C102" s="6"/>
      <c r="D102" s="5"/>
      <c r="E102" s="5"/>
      <c r="F102" s="5"/>
      <c r="G102" s="5"/>
      <c r="H102" s="137"/>
      <c r="I102" s="137">
        <f>SUM(I55:I101)</f>
        <v>92236.025853706655</v>
      </c>
      <c r="J102" s="438"/>
      <c r="K102" s="407">
        <f>SUM(K52:K101)</f>
        <v>92236</v>
      </c>
      <c r="L102" s="38"/>
    </row>
    <row r="103" spans="1:12" ht="14.1" customHeight="1" thickBot="1" x14ac:dyDescent="0.3">
      <c r="A103" s="561" t="s">
        <v>1</v>
      </c>
      <c r="B103" s="549" t="s">
        <v>0</v>
      </c>
      <c r="C103" s="563" t="s">
        <v>162</v>
      </c>
      <c r="D103" s="564"/>
      <c r="E103" s="564"/>
      <c r="F103" s="564"/>
      <c r="G103" s="564"/>
      <c r="H103" s="564"/>
      <c r="I103" s="564"/>
      <c r="J103" s="564"/>
      <c r="K103" s="564"/>
      <c r="L103" s="565"/>
    </row>
    <row r="104" spans="1:12" ht="27" thickBot="1" x14ac:dyDescent="0.3">
      <c r="A104" s="562"/>
      <c r="B104" s="550"/>
      <c r="C104" s="566" t="s">
        <v>8</v>
      </c>
      <c r="D104" s="567"/>
      <c r="E104" s="567"/>
      <c r="F104" s="567"/>
      <c r="G104" s="568"/>
      <c r="H104" s="156" t="s">
        <v>2</v>
      </c>
      <c r="I104" s="12" t="s">
        <v>37</v>
      </c>
      <c r="J104" s="50"/>
      <c r="K104" s="408" t="s">
        <v>202</v>
      </c>
      <c r="L104" s="35" t="s">
        <v>9</v>
      </c>
    </row>
    <row r="105" spans="1:12" ht="13.35" hidden="1" customHeight="1" x14ac:dyDescent="0.25">
      <c r="A105" s="559" t="s">
        <v>5</v>
      </c>
      <c r="B105" s="21"/>
      <c r="C105" s="17"/>
      <c r="D105" s="42"/>
      <c r="E105" s="42"/>
      <c r="F105" s="42"/>
      <c r="G105" s="42"/>
      <c r="H105" s="4"/>
      <c r="I105" s="24"/>
      <c r="J105" s="52"/>
      <c r="K105" s="52"/>
      <c r="L105" s="36"/>
    </row>
    <row r="106" spans="1:12" ht="13.35" hidden="1" customHeight="1" x14ac:dyDescent="0.25">
      <c r="A106" s="560"/>
      <c r="B106" s="21"/>
      <c r="C106" s="17"/>
      <c r="D106" s="40"/>
      <c r="E106" s="40"/>
      <c r="F106" s="40"/>
      <c r="G106" s="20"/>
      <c r="H106" s="4"/>
      <c r="I106" s="24"/>
      <c r="J106" s="52"/>
      <c r="K106" s="52"/>
      <c r="L106" s="36"/>
    </row>
    <row r="107" spans="1:12" ht="13.35" hidden="1" customHeight="1" x14ac:dyDescent="0.25">
      <c r="A107" s="560"/>
      <c r="B107" s="21"/>
      <c r="C107" s="7"/>
      <c r="D107" s="11"/>
      <c r="E107" s="20"/>
      <c r="F107" s="20"/>
      <c r="G107" s="20"/>
      <c r="H107" s="4"/>
      <c r="I107" s="24"/>
      <c r="J107" s="52"/>
      <c r="K107" s="52"/>
      <c r="L107" s="36"/>
    </row>
    <row r="108" spans="1:12" ht="13.35" hidden="1" customHeight="1" x14ac:dyDescent="0.25">
      <c r="A108" s="560"/>
      <c r="B108" s="10"/>
      <c r="C108" s="7"/>
      <c r="D108" s="22"/>
      <c r="E108" s="22"/>
      <c r="F108" s="22"/>
      <c r="G108" s="8"/>
      <c r="H108" s="4"/>
      <c r="I108" s="24"/>
      <c r="J108" s="52"/>
      <c r="K108" s="52"/>
      <c r="L108" s="36"/>
    </row>
    <row r="109" spans="1:12" ht="13.35" hidden="1" customHeight="1" x14ac:dyDescent="0.25">
      <c r="A109" s="560"/>
      <c r="B109" s="10"/>
      <c r="C109" s="7"/>
      <c r="D109" s="22"/>
      <c r="E109" s="22"/>
      <c r="F109" s="22"/>
      <c r="G109" s="8"/>
      <c r="H109" s="4"/>
      <c r="I109" s="24"/>
      <c r="J109" s="52"/>
      <c r="K109" s="52"/>
      <c r="L109" s="36"/>
    </row>
    <row r="110" spans="1:12" ht="13.35" hidden="1" customHeight="1" x14ac:dyDescent="0.25">
      <c r="A110" s="560"/>
      <c r="B110" s="10"/>
      <c r="C110" s="7"/>
      <c r="D110" s="11"/>
      <c r="E110" s="11"/>
      <c r="F110" s="11"/>
      <c r="G110" s="11"/>
      <c r="H110" s="4"/>
      <c r="I110" s="24"/>
      <c r="J110" s="52"/>
      <c r="K110" s="52"/>
      <c r="L110" s="36"/>
    </row>
    <row r="111" spans="1:12" ht="13.35" hidden="1" customHeight="1" x14ac:dyDescent="0.25">
      <c r="A111" s="560"/>
      <c r="B111" s="32"/>
      <c r="C111" s="29"/>
      <c r="D111" s="41"/>
      <c r="E111" s="41"/>
      <c r="F111" s="41"/>
      <c r="G111" s="31"/>
      <c r="H111" s="33"/>
      <c r="I111" s="34"/>
      <c r="J111" s="54"/>
      <c r="K111" s="54"/>
      <c r="L111" s="36"/>
    </row>
    <row r="112" spans="1:12" ht="13.35" hidden="1" customHeight="1" x14ac:dyDescent="0.25">
      <c r="A112" s="560"/>
      <c r="B112" s="32"/>
      <c r="C112" s="29"/>
      <c r="D112" s="30"/>
      <c r="E112" s="30"/>
      <c r="F112" s="30"/>
      <c r="G112" s="31"/>
      <c r="H112" s="33"/>
      <c r="I112" s="34"/>
      <c r="J112" s="54"/>
      <c r="K112" s="54"/>
      <c r="L112" s="36"/>
    </row>
    <row r="113" spans="1:12" ht="13.35" hidden="1" customHeight="1" x14ac:dyDescent="0.25">
      <c r="A113" s="560"/>
      <c r="B113" s="32"/>
      <c r="C113" s="29"/>
      <c r="D113" s="30"/>
      <c r="E113" s="30"/>
      <c r="F113" s="30"/>
      <c r="G113" s="31"/>
      <c r="H113" s="33"/>
      <c r="I113" s="34"/>
      <c r="J113" s="54"/>
      <c r="K113" s="54"/>
      <c r="L113" s="36"/>
    </row>
    <row r="114" spans="1:12" ht="13.35" hidden="1" customHeight="1" x14ac:dyDescent="0.25">
      <c r="A114" s="560"/>
      <c r="B114" s="10"/>
      <c r="C114" s="7"/>
      <c r="D114" s="8"/>
      <c r="E114" s="8"/>
      <c r="F114" s="8"/>
      <c r="G114" s="9"/>
      <c r="H114" s="4"/>
      <c r="I114" s="24"/>
      <c r="J114" s="52"/>
      <c r="K114" s="52"/>
      <c r="L114" s="36"/>
    </row>
    <row r="115" spans="1:12" ht="13.35" hidden="1" customHeight="1" x14ac:dyDescent="0.25">
      <c r="A115" s="560"/>
      <c r="B115" s="13"/>
      <c r="C115" s="14"/>
      <c r="D115" s="15"/>
      <c r="E115" s="15"/>
      <c r="F115" s="15"/>
      <c r="G115" s="16"/>
      <c r="H115" s="4"/>
      <c r="I115" s="24"/>
      <c r="J115" s="52"/>
      <c r="K115" s="52"/>
      <c r="L115" s="36"/>
    </row>
    <row r="116" spans="1:12" ht="13.8" thickBot="1" x14ac:dyDescent="0.3">
      <c r="A116" s="560"/>
      <c r="B116" s="1"/>
      <c r="C116" s="7"/>
      <c r="D116" s="8"/>
      <c r="E116" s="8"/>
      <c r="F116" s="8"/>
      <c r="G116" s="9"/>
      <c r="H116" s="4"/>
      <c r="I116" s="25"/>
      <c r="J116" s="51"/>
      <c r="K116" s="51"/>
      <c r="L116" s="36"/>
    </row>
    <row r="117" spans="1:12" ht="13.8" thickBot="1" x14ac:dyDescent="0.3">
      <c r="A117" s="43"/>
      <c r="B117" s="2" t="s">
        <v>6</v>
      </c>
      <c r="C117" s="6"/>
      <c r="D117" s="5"/>
      <c r="E117" s="5"/>
      <c r="F117" s="5"/>
      <c r="G117" s="5"/>
      <c r="H117" s="3">
        <f>SUM(H116:H116)</f>
        <v>0</v>
      </c>
      <c r="I117" s="26"/>
      <c r="J117" s="57"/>
      <c r="K117" s="57"/>
      <c r="L117" s="38"/>
    </row>
    <row r="118" spans="1:12" ht="26.85" customHeight="1" x14ac:dyDescent="0.25">
      <c r="A118" s="548" t="s">
        <v>11</v>
      </c>
      <c r="B118" s="549" t="s">
        <v>0</v>
      </c>
      <c r="C118" s="551" t="s">
        <v>8</v>
      </c>
      <c r="D118" s="552"/>
      <c r="E118" s="552"/>
      <c r="F118" s="552"/>
      <c r="G118" s="553"/>
      <c r="H118" s="557" t="s">
        <v>2</v>
      </c>
      <c r="I118" s="537" t="s">
        <v>37</v>
      </c>
      <c r="J118" s="462"/>
      <c r="K118" s="409" t="s">
        <v>202</v>
      </c>
      <c r="L118" s="533" t="s">
        <v>9</v>
      </c>
    </row>
    <row r="119" spans="1:12" ht="13.8" thickBot="1" x14ac:dyDescent="0.3">
      <c r="A119" s="548"/>
      <c r="B119" s="550"/>
      <c r="C119" s="554"/>
      <c r="D119" s="555"/>
      <c r="E119" s="555"/>
      <c r="F119" s="555"/>
      <c r="G119" s="556"/>
      <c r="H119" s="558"/>
      <c r="I119" s="538"/>
      <c r="J119" s="463"/>
      <c r="K119" s="73"/>
      <c r="L119" s="534"/>
    </row>
    <row r="120" spans="1:12" x14ac:dyDescent="0.25">
      <c r="A120" s="548"/>
      <c r="B120" s="46"/>
      <c r="C120" s="7"/>
      <c r="D120" s="8"/>
      <c r="E120" s="8"/>
      <c r="F120" s="8"/>
      <c r="G120" s="9"/>
      <c r="H120" s="23"/>
      <c r="I120" s="27"/>
      <c r="J120" s="436"/>
      <c r="K120" s="56"/>
      <c r="L120" s="27"/>
    </row>
    <row r="121" spans="1:12" x14ac:dyDescent="0.25">
      <c r="A121" s="548"/>
      <c r="B121" s="65"/>
      <c r="C121" s="74"/>
      <c r="D121" s="84"/>
      <c r="E121" s="84"/>
      <c r="F121" s="84"/>
      <c r="G121" s="76"/>
      <c r="H121" s="77"/>
      <c r="I121" s="27"/>
      <c r="J121" s="436"/>
      <c r="K121" s="56"/>
      <c r="L121" s="94"/>
    </row>
    <row r="122" spans="1:12" ht="13.8" thickBot="1" x14ac:dyDescent="0.3">
      <c r="A122" s="548"/>
      <c r="B122" s="21"/>
      <c r="C122" s="7"/>
      <c r="D122" s="8"/>
      <c r="E122" s="8"/>
      <c r="F122" s="8"/>
      <c r="G122" s="9"/>
      <c r="H122" s="23"/>
      <c r="I122" s="27"/>
      <c r="J122" s="436"/>
      <c r="K122" s="56"/>
      <c r="L122" s="27"/>
    </row>
    <row r="123" spans="1:12" ht="13.8" thickBot="1" x14ac:dyDescent="0.3">
      <c r="A123" s="43"/>
      <c r="B123" s="2" t="s">
        <v>7</v>
      </c>
      <c r="C123" s="6"/>
      <c r="D123" s="5"/>
      <c r="E123" s="5"/>
      <c r="F123" s="5"/>
      <c r="G123" s="5"/>
      <c r="H123" s="3"/>
      <c r="I123" s="3">
        <f>H121</f>
        <v>0</v>
      </c>
      <c r="J123" s="438"/>
      <c r="K123" s="53"/>
      <c r="L123" s="39"/>
    </row>
    <row r="124" spans="1:12" ht="26.85" customHeight="1" x14ac:dyDescent="0.25">
      <c r="A124" s="548" t="s">
        <v>12</v>
      </c>
      <c r="B124" s="549" t="s">
        <v>0</v>
      </c>
      <c r="C124" s="551" t="s">
        <v>8</v>
      </c>
      <c r="D124" s="552"/>
      <c r="E124" s="552"/>
      <c r="F124" s="552"/>
      <c r="G124" s="553"/>
      <c r="H124" s="557" t="s">
        <v>2</v>
      </c>
      <c r="I124" s="537" t="s">
        <v>37</v>
      </c>
      <c r="J124" s="462"/>
      <c r="K124" s="409" t="s">
        <v>202</v>
      </c>
      <c r="L124" s="535" t="s">
        <v>9</v>
      </c>
    </row>
    <row r="125" spans="1:12" ht="13.8" thickBot="1" x14ac:dyDescent="0.3">
      <c r="A125" s="548"/>
      <c r="B125" s="550"/>
      <c r="C125" s="554"/>
      <c r="D125" s="555"/>
      <c r="E125" s="555"/>
      <c r="F125" s="555"/>
      <c r="G125" s="556"/>
      <c r="H125" s="558"/>
      <c r="I125" s="538"/>
      <c r="J125" s="463"/>
      <c r="K125" s="73"/>
      <c r="L125" s="536"/>
    </row>
    <row r="126" spans="1:12" ht="26.4" x14ac:dyDescent="0.25">
      <c r="A126" s="548"/>
      <c r="B126" s="65" t="s">
        <v>208</v>
      </c>
      <c r="C126" s="74">
        <v>1193</v>
      </c>
      <c r="D126" s="389">
        <v>2</v>
      </c>
      <c r="E126" s="75"/>
      <c r="F126" s="75"/>
      <c r="G126" s="76"/>
      <c r="H126" s="225">
        <v>2386</v>
      </c>
      <c r="I126" s="78"/>
      <c r="J126" s="419"/>
      <c r="K126" s="403">
        <v>2386</v>
      </c>
      <c r="L126" s="78" t="s">
        <v>206</v>
      </c>
    </row>
    <row r="127" spans="1:12" ht="26.4" x14ac:dyDescent="0.25">
      <c r="A127" s="548"/>
      <c r="B127" s="65" t="s">
        <v>207</v>
      </c>
      <c r="C127" s="74">
        <v>139.5</v>
      </c>
      <c r="D127" s="389"/>
      <c r="E127" s="75"/>
      <c r="F127" s="75"/>
      <c r="G127" s="76"/>
      <c r="H127" s="68">
        <v>279</v>
      </c>
      <c r="I127" s="78"/>
      <c r="J127" s="493"/>
      <c r="K127" s="403">
        <v>279</v>
      </c>
      <c r="L127" s="78" t="s">
        <v>205</v>
      </c>
    </row>
    <row r="128" spans="1:12" ht="13.8" thickBot="1" x14ac:dyDescent="0.3">
      <c r="A128" s="548"/>
      <c r="B128" s="21" t="s">
        <v>113</v>
      </c>
      <c r="C128" s="7"/>
      <c r="D128" s="8"/>
      <c r="E128" s="8"/>
      <c r="F128" s="8"/>
      <c r="G128" s="9"/>
      <c r="H128" s="68">
        <f>(H126+H127)*0.0394</f>
        <v>105.00099999999999</v>
      </c>
      <c r="I128" s="27"/>
      <c r="J128" s="464"/>
      <c r="K128" s="403">
        <v>105</v>
      </c>
      <c r="L128" s="27"/>
    </row>
    <row r="129" spans="1:20" ht="15.6" thickBot="1" x14ac:dyDescent="0.3">
      <c r="A129" s="43"/>
      <c r="B129" s="116" t="s">
        <v>13</v>
      </c>
      <c r="C129" s="113"/>
      <c r="D129" s="114"/>
      <c r="E129" s="114"/>
      <c r="F129" s="114"/>
      <c r="G129" s="114"/>
      <c r="H129" s="115"/>
      <c r="I129" s="146">
        <f>SUM(H126:H128)</f>
        <v>2770.0010000000002</v>
      </c>
      <c r="J129" s="465"/>
      <c r="K129" s="407">
        <f>SUM(K126:K128)</f>
        <v>2770</v>
      </c>
      <c r="L129" s="44"/>
      <c r="M129" s="109"/>
      <c r="N129" s="109"/>
      <c r="O129" s="109"/>
      <c r="P129" s="109"/>
      <c r="Q129" s="109"/>
      <c r="R129" s="109"/>
      <c r="S129" s="109"/>
      <c r="T129" s="109"/>
    </row>
    <row r="130" spans="1:20" ht="16.2" thickBot="1" x14ac:dyDescent="0.35">
      <c r="A130" s="45"/>
      <c r="B130" s="112" t="s">
        <v>3</v>
      </c>
      <c r="C130" s="542"/>
      <c r="D130" s="543"/>
      <c r="E130" s="543"/>
      <c r="F130" s="543"/>
      <c r="G130" s="543"/>
      <c r="H130" s="544"/>
      <c r="I130" s="147">
        <f>I129+I123+I102+I49</f>
        <v>103397.54991626265</v>
      </c>
      <c r="J130" s="466"/>
      <c r="K130" s="406">
        <f>K129+K102+K49</f>
        <v>103399</v>
      </c>
      <c r="L130" s="350" t="s">
        <v>165</v>
      </c>
      <c r="M130" s="109"/>
      <c r="N130" s="109"/>
      <c r="O130" s="109"/>
      <c r="P130" s="109"/>
      <c r="Q130" s="109"/>
      <c r="R130" s="109"/>
      <c r="S130" s="109"/>
      <c r="T130" s="109"/>
    </row>
    <row r="131" spans="1:20" ht="20.25" customHeight="1" x14ac:dyDescent="0.25">
      <c r="D131" s="80" t="s">
        <v>103</v>
      </c>
      <c r="E131" s="80"/>
      <c r="F131" s="80"/>
      <c r="G131" s="150"/>
      <c r="H131" s="79"/>
      <c r="I131" s="322">
        <v>153121</v>
      </c>
      <c r="J131" s="467"/>
      <c r="L131" s="150" t="s">
        <v>158</v>
      </c>
      <c r="M131" s="109"/>
      <c r="N131" s="109"/>
      <c r="O131" s="109"/>
      <c r="P131" s="109"/>
      <c r="Q131" s="109"/>
      <c r="R131" s="109"/>
      <c r="S131" s="109"/>
      <c r="T131" s="109"/>
    </row>
    <row r="132" spans="1:20" ht="15" x14ac:dyDescent="0.25">
      <c r="H132" s="150" t="s">
        <v>104</v>
      </c>
      <c r="I132" s="110">
        <f>I131-I130</f>
        <v>49723.450083737349</v>
      </c>
      <c r="J132" s="467"/>
      <c r="L132" t="s">
        <v>186</v>
      </c>
      <c r="M132" s="109"/>
      <c r="N132" s="109"/>
      <c r="O132" s="109"/>
      <c r="P132" s="109"/>
      <c r="Q132" s="109"/>
      <c r="R132" s="109"/>
      <c r="S132" s="109"/>
      <c r="T132" s="109"/>
    </row>
    <row r="133" spans="1:20" ht="15" x14ac:dyDescent="0.25">
      <c r="H133" s="79"/>
      <c r="I133" s="111"/>
      <c r="J133" s="468"/>
      <c r="M133" s="109"/>
      <c r="N133" s="109"/>
      <c r="O133" s="109"/>
      <c r="P133" s="109"/>
      <c r="Q133" s="109"/>
      <c r="R133" s="109"/>
      <c r="S133" s="109"/>
      <c r="T133" s="109"/>
    </row>
    <row r="134" spans="1:20" ht="15" hidden="1" x14ac:dyDescent="0.25">
      <c r="M134" s="109"/>
      <c r="N134" s="109"/>
      <c r="O134" s="109"/>
      <c r="P134" s="109"/>
      <c r="Q134" s="109"/>
      <c r="R134" s="109"/>
      <c r="S134" s="109"/>
      <c r="T134" s="109"/>
    </row>
    <row r="135" spans="1:20" hidden="1" x14ac:dyDescent="0.25">
      <c r="B135" s="80"/>
    </row>
    <row r="136" spans="1:20" hidden="1" x14ac:dyDescent="0.25">
      <c r="B136" s="80" t="s">
        <v>57</v>
      </c>
      <c r="C136" s="80"/>
      <c r="D136" s="80"/>
      <c r="E136" s="80"/>
      <c r="F136" s="80"/>
    </row>
    <row r="137" spans="1:20" hidden="1" x14ac:dyDescent="0.25">
      <c r="B137" s="138"/>
      <c r="C137" s="138"/>
      <c r="D137" s="138"/>
      <c r="E137" s="138"/>
      <c r="F137" s="138"/>
      <c r="G137" s="139"/>
    </row>
    <row r="138" spans="1:20" hidden="1" x14ac:dyDescent="0.25">
      <c r="B138" s="157" t="s">
        <v>87</v>
      </c>
      <c r="C138" s="158"/>
      <c r="D138" s="139"/>
    </row>
    <row r="139" spans="1:20" hidden="1" x14ac:dyDescent="0.25">
      <c r="B139" s="157" t="s">
        <v>48</v>
      </c>
      <c r="C139" s="158"/>
      <c r="D139" s="139"/>
      <c r="E139" s="139"/>
      <c r="F139" s="139"/>
      <c r="G139" s="139"/>
    </row>
    <row r="140" spans="1:20" hidden="1" x14ac:dyDescent="0.25">
      <c r="B140" s="157" t="s">
        <v>50</v>
      </c>
      <c r="C140" s="158"/>
      <c r="D140" s="139"/>
      <c r="E140" s="139"/>
      <c r="F140" s="139"/>
      <c r="G140" s="139"/>
    </row>
    <row r="141" spans="1:20" hidden="1" x14ac:dyDescent="0.25">
      <c r="B141" s="141" t="s">
        <v>58</v>
      </c>
      <c r="C141" s="159"/>
      <c r="D141" s="159"/>
      <c r="E141" s="159"/>
      <c r="F141" s="159"/>
      <c r="G141" s="159"/>
    </row>
    <row r="142" spans="1:20" hidden="1" x14ac:dyDescent="0.25"/>
    <row r="143" spans="1:20" hidden="1" x14ac:dyDescent="0.25"/>
    <row r="144" spans="1:20" ht="15.6" hidden="1" x14ac:dyDescent="0.3">
      <c r="B144" s="174" t="s">
        <v>76</v>
      </c>
      <c r="C144" s="175"/>
      <c r="D144" s="175"/>
      <c r="E144" s="175"/>
      <c r="F144" s="175"/>
      <c r="G144" s="175"/>
      <c r="H144" s="175"/>
      <c r="I144" s="175"/>
      <c r="J144" s="469"/>
      <c r="K144" s="176"/>
      <c r="L144" s="175"/>
    </row>
    <row r="145" spans="2:20" ht="15.6" hidden="1" x14ac:dyDescent="0.3">
      <c r="B145" s="177" t="s">
        <v>62</v>
      </c>
      <c r="C145" s="178"/>
      <c r="D145" s="178"/>
      <c r="E145" s="178"/>
      <c r="F145" s="178"/>
      <c r="G145" s="178"/>
      <c r="H145" s="178"/>
      <c r="I145" s="178"/>
      <c r="J145" s="470"/>
      <c r="K145" s="179"/>
      <c r="L145" s="178"/>
    </row>
    <row r="146" spans="2:20" ht="15" hidden="1" x14ac:dyDescent="0.25">
      <c r="B146" s="178" t="s">
        <v>63</v>
      </c>
      <c r="C146" s="178"/>
      <c r="D146" s="178"/>
      <c r="E146" s="178"/>
      <c r="F146" s="178"/>
      <c r="G146" s="178"/>
      <c r="H146" s="178"/>
      <c r="I146" s="178"/>
      <c r="J146" s="470"/>
      <c r="K146" s="179"/>
      <c r="L146" s="178"/>
    </row>
    <row r="147" spans="2:20" ht="20.85" hidden="1" customHeight="1" x14ac:dyDescent="0.25">
      <c r="B147" s="178" t="s">
        <v>64</v>
      </c>
      <c r="C147" s="178"/>
      <c r="D147" s="178"/>
      <c r="E147" s="178"/>
      <c r="F147" s="178"/>
      <c r="G147" s="178"/>
      <c r="H147" s="178"/>
      <c r="I147" s="178"/>
      <c r="J147" s="470"/>
      <c r="K147" s="179"/>
      <c r="L147" s="178"/>
      <c r="P147" s="148"/>
    </row>
    <row r="148" spans="2:20" ht="20.85" hidden="1" customHeight="1" x14ac:dyDescent="0.25">
      <c r="B148" s="178" t="s">
        <v>64</v>
      </c>
      <c r="C148" s="178"/>
      <c r="D148" s="178"/>
      <c r="E148" s="178"/>
      <c r="F148" s="178"/>
      <c r="G148" s="178"/>
      <c r="H148" s="178"/>
      <c r="I148" s="178"/>
      <c r="J148" s="470"/>
      <c r="K148" s="179"/>
      <c r="L148" s="178"/>
      <c r="O148" s="150"/>
    </row>
    <row r="149" spans="2:20" ht="45" hidden="1" customHeight="1" x14ac:dyDescent="0.25">
      <c r="B149" s="178" t="s">
        <v>64</v>
      </c>
      <c r="C149" s="545"/>
      <c r="D149" s="546"/>
      <c r="E149" s="546"/>
      <c r="F149" s="546"/>
      <c r="G149" s="546"/>
      <c r="H149" s="546"/>
      <c r="I149" s="546"/>
      <c r="J149" s="546"/>
      <c r="K149" s="546"/>
      <c r="L149" s="547"/>
      <c r="O149" s="150"/>
    </row>
    <row r="150" spans="2:20" ht="21" hidden="1" customHeight="1" x14ac:dyDescent="0.25">
      <c r="B150" s="178" t="s">
        <v>64</v>
      </c>
      <c r="C150" s="178"/>
      <c r="D150" s="178"/>
      <c r="E150" s="178"/>
      <c r="F150" s="178"/>
      <c r="G150" s="178"/>
      <c r="H150" s="178"/>
      <c r="I150" s="178"/>
      <c r="J150" s="470"/>
      <c r="K150" s="179"/>
      <c r="L150" s="178"/>
      <c r="M150" s="182" t="e">
        <f>SUM(#REF!)</f>
        <v>#REF!</v>
      </c>
    </row>
    <row r="151" spans="2:20" ht="21" hidden="1" customHeight="1" x14ac:dyDescent="0.25">
      <c r="B151" s="180" t="s">
        <v>74</v>
      </c>
      <c r="C151" s="530"/>
      <c r="D151" s="531"/>
      <c r="E151" s="531"/>
      <c r="F151" s="531"/>
      <c r="G151" s="531"/>
      <c r="H151" s="531"/>
      <c r="I151" s="531"/>
      <c r="J151" s="531"/>
      <c r="K151" s="531"/>
      <c r="L151" s="532"/>
      <c r="Q151" s="528"/>
      <c r="R151" s="529"/>
      <c r="S151" s="529"/>
      <c r="T151" s="529"/>
    </row>
    <row r="152" spans="2:20" ht="29.85" hidden="1" customHeight="1" x14ac:dyDescent="0.25">
      <c r="B152" s="181" t="s">
        <v>65</v>
      </c>
      <c r="C152" s="530"/>
      <c r="D152" s="531"/>
      <c r="E152" s="531"/>
      <c r="F152" s="531"/>
      <c r="G152" s="531"/>
      <c r="H152" s="531"/>
      <c r="I152" s="531"/>
      <c r="J152" s="531"/>
      <c r="K152" s="531"/>
      <c r="L152" s="532"/>
    </row>
    <row r="153" spans="2:20" ht="24" hidden="1" customHeight="1" x14ac:dyDescent="0.25">
      <c r="B153" s="178" t="s">
        <v>38</v>
      </c>
      <c r="C153" s="539"/>
      <c r="D153" s="540"/>
      <c r="E153" s="540"/>
      <c r="F153" s="540"/>
      <c r="G153" s="540"/>
      <c r="H153" s="540"/>
      <c r="I153" s="540"/>
      <c r="J153" s="540"/>
      <c r="K153" s="540"/>
      <c r="L153" s="541"/>
    </row>
    <row r="154" spans="2:20" ht="48.6" hidden="1" customHeight="1" x14ac:dyDescent="0.25">
      <c r="B154" s="178" t="s">
        <v>75</v>
      </c>
      <c r="C154" s="530"/>
      <c r="D154" s="531"/>
      <c r="E154" s="531"/>
      <c r="F154" s="531"/>
      <c r="G154" s="531"/>
      <c r="H154" s="531"/>
      <c r="I154" s="531"/>
      <c r="J154" s="531"/>
      <c r="K154" s="531"/>
      <c r="L154" s="532"/>
    </row>
    <row r="155" spans="2:20" ht="30.6" hidden="1" customHeight="1" x14ac:dyDescent="0.25">
      <c r="B155" s="178" t="s">
        <v>73</v>
      </c>
      <c r="C155" s="178"/>
      <c r="D155" s="178"/>
      <c r="E155" s="178"/>
      <c r="F155" s="178"/>
      <c r="G155" s="178"/>
      <c r="H155" s="178"/>
      <c r="I155" s="178"/>
      <c r="J155" s="470"/>
      <c r="K155" s="179"/>
      <c r="L155" s="178"/>
    </row>
    <row r="156" spans="2:20" ht="33.6" hidden="1" customHeight="1" x14ac:dyDescent="0.25">
      <c r="B156" s="178" t="s">
        <v>30</v>
      </c>
      <c r="C156" s="530"/>
      <c r="D156" s="531"/>
      <c r="E156" s="531"/>
      <c r="F156" s="531"/>
      <c r="G156" s="531"/>
      <c r="H156" s="531"/>
      <c r="I156" s="531"/>
      <c r="J156" s="531"/>
      <c r="K156" s="531"/>
      <c r="L156" s="532"/>
    </row>
    <row r="157" spans="2:20" ht="15" hidden="1" x14ac:dyDescent="0.25">
      <c r="B157" s="178" t="s">
        <v>69</v>
      </c>
      <c r="C157" s="178"/>
      <c r="D157" s="178"/>
      <c r="E157" s="178"/>
      <c r="F157" s="178"/>
      <c r="G157" s="178"/>
      <c r="H157" s="178"/>
      <c r="I157" s="178"/>
      <c r="J157" s="470"/>
      <c r="K157" s="179"/>
      <c r="L157" s="178"/>
    </row>
    <row r="158" spans="2:20" ht="15.6" hidden="1" x14ac:dyDescent="0.3">
      <c r="B158" s="183" t="s">
        <v>67</v>
      </c>
      <c r="C158" s="183"/>
      <c r="D158" s="183"/>
      <c r="E158" s="183"/>
      <c r="F158" s="183"/>
      <c r="G158" s="183"/>
      <c r="H158" s="183"/>
      <c r="I158" s="183"/>
      <c r="J158" s="471"/>
      <c r="K158" s="184"/>
      <c r="L158" s="183"/>
      <c r="N158" s="182" t="e">
        <f>SUM(#REF!)</f>
        <v>#REF!</v>
      </c>
    </row>
    <row r="159" spans="2:20" ht="15" hidden="1" x14ac:dyDescent="0.25">
      <c r="B159" s="178"/>
      <c r="C159" s="178"/>
      <c r="D159" s="178"/>
      <c r="E159" s="178"/>
      <c r="F159" s="178"/>
      <c r="G159" s="178"/>
      <c r="H159" s="178"/>
      <c r="I159" s="178"/>
      <c r="J159" s="470"/>
      <c r="K159" s="179"/>
      <c r="L159" s="178"/>
    </row>
    <row r="160" spans="2:20" ht="51" hidden="1" customHeight="1" x14ac:dyDescent="0.25">
      <c r="B160" s="178" t="s">
        <v>68</v>
      </c>
      <c r="C160" s="530"/>
      <c r="D160" s="531"/>
      <c r="E160" s="531"/>
      <c r="F160" s="531"/>
      <c r="G160" s="531"/>
      <c r="H160" s="531"/>
      <c r="I160" s="531"/>
      <c r="J160" s="531"/>
      <c r="K160" s="531"/>
      <c r="L160" s="532"/>
    </row>
    <row r="161" spans="2:14" ht="15" hidden="1" x14ac:dyDescent="0.25">
      <c r="B161" s="178" t="s">
        <v>69</v>
      </c>
      <c r="C161" s="178"/>
      <c r="D161" s="178"/>
      <c r="E161" s="178"/>
      <c r="F161" s="178"/>
      <c r="G161" s="178"/>
      <c r="H161" s="178"/>
      <c r="I161" s="178"/>
      <c r="J161" s="470"/>
      <c r="K161" s="179"/>
      <c r="L161" s="178"/>
    </row>
    <row r="162" spans="2:14" ht="15.6" hidden="1" x14ac:dyDescent="0.3">
      <c r="B162" s="183" t="s">
        <v>70</v>
      </c>
      <c r="C162" s="183"/>
      <c r="D162" s="183"/>
      <c r="E162" s="183"/>
      <c r="F162" s="183"/>
      <c r="G162" s="183"/>
      <c r="H162" s="183"/>
      <c r="I162" s="183"/>
      <c r="J162" s="471"/>
      <c r="K162" s="184"/>
      <c r="L162" s="183"/>
      <c r="N162" s="182" t="e">
        <f>#REF!+#REF!</f>
        <v>#REF!</v>
      </c>
    </row>
    <row r="163" spans="2:14" ht="15" hidden="1" x14ac:dyDescent="0.25">
      <c r="B163" s="178"/>
      <c r="C163" s="178"/>
      <c r="D163" s="178"/>
      <c r="E163" s="178"/>
      <c r="F163" s="178"/>
      <c r="G163" s="178"/>
      <c r="H163" s="178"/>
      <c r="I163" s="178"/>
      <c r="J163" s="470"/>
      <c r="K163" s="179"/>
      <c r="L163" s="178"/>
    </row>
    <row r="164" spans="2:14" ht="15.6" hidden="1" x14ac:dyDescent="0.3">
      <c r="B164" s="183" t="s">
        <v>71</v>
      </c>
      <c r="C164" s="185"/>
      <c r="D164" s="183"/>
      <c r="E164" s="183"/>
      <c r="F164" s="183"/>
      <c r="G164" s="183"/>
      <c r="H164" s="183"/>
      <c r="I164" s="183"/>
      <c r="J164" s="471"/>
      <c r="K164" s="184"/>
      <c r="L164" s="183"/>
      <c r="N164" s="102" t="e">
        <f>#REF!*0.0983</f>
        <v>#REF!</v>
      </c>
    </row>
    <row r="165" spans="2:14" ht="15" hidden="1" x14ac:dyDescent="0.25">
      <c r="B165" s="178"/>
      <c r="C165" s="178"/>
      <c r="D165" s="178"/>
      <c r="E165" s="178"/>
      <c r="F165" s="178"/>
      <c r="G165" s="178"/>
      <c r="H165" s="178"/>
      <c r="I165" s="178"/>
      <c r="J165" s="470"/>
      <c r="K165" s="179"/>
      <c r="L165" s="178"/>
    </row>
    <row r="166" spans="2:14" ht="15" hidden="1" x14ac:dyDescent="0.25">
      <c r="B166" s="178"/>
      <c r="C166" s="178"/>
      <c r="D166" s="178"/>
      <c r="E166" s="178"/>
      <c r="F166" s="178"/>
      <c r="G166" s="178"/>
      <c r="H166" s="178"/>
      <c r="I166" s="178"/>
      <c r="J166" s="470"/>
      <c r="K166" s="179"/>
      <c r="L166" s="178"/>
    </row>
    <row r="167" spans="2:14" ht="15.6" hidden="1" x14ac:dyDescent="0.3">
      <c r="B167" s="186" t="s">
        <v>72</v>
      </c>
      <c r="C167" s="186"/>
      <c r="D167" s="186"/>
      <c r="E167" s="186"/>
      <c r="F167" s="186"/>
      <c r="G167" s="186"/>
      <c r="H167" s="186"/>
      <c r="I167" s="186"/>
      <c r="J167" s="472"/>
      <c r="K167" s="187"/>
      <c r="L167" s="186"/>
      <c r="N167" s="182" t="e">
        <f>N158+N162+N164</f>
        <v>#REF!</v>
      </c>
    </row>
    <row r="168" spans="2:14" hidden="1" x14ac:dyDescent="0.25"/>
    <row r="169" spans="2:14" hidden="1" x14ac:dyDescent="0.25"/>
    <row r="170" spans="2:14" hidden="1" x14ac:dyDescent="0.25"/>
    <row r="171" spans="2:14" hidden="1" x14ac:dyDescent="0.25"/>
    <row r="172" spans="2:14" hidden="1" x14ac:dyDescent="0.25"/>
    <row r="173" spans="2:14" x14ac:dyDescent="0.25">
      <c r="H173" s="351" t="s">
        <v>168</v>
      </c>
      <c r="I173" s="110">
        <v>124633</v>
      </c>
      <c r="J173" s="467"/>
      <c r="L173" t="s">
        <v>185</v>
      </c>
    </row>
    <row r="174" spans="2:14" x14ac:dyDescent="0.25">
      <c r="H174" s="373" t="s">
        <v>104</v>
      </c>
      <c r="I174" s="374">
        <f>I173-I130</f>
        <v>21235.450083737349</v>
      </c>
      <c r="J174" s="473"/>
      <c r="L174" s="394"/>
    </row>
    <row r="175" spans="2:14" x14ac:dyDescent="0.25">
      <c r="I175" s="352"/>
      <c r="L175" s="349"/>
    </row>
    <row r="176" spans="2:14" ht="12.6" customHeight="1" x14ac:dyDescent="0.25">
      <c r="B176" s="80" t="s">
        <v>57</v>
      </c>
      <c r="C176" s="80"/>
      <c r="D176" s="80"/>
      <c r="E176" s="80"/>
      <c r="F176" s="80"/>
      <c r="L176" s="349"/>
    </row>
    <row r="177" spans="2:11" x14ac:dyDescent="0.25">
      <c r="B177" s="138"/>
      <c r="C177" s="138" t="s">
        <v>59</v>
      </c>
      <c r="D177" s="138"/>
      <c r="E177" s="80"/>
      <c r="F177" s="80"/>
      <c r="G177" s="358" t="s">
        <v>172</v>
      </c>
      <c r="H177" s="358" t="s">
        <v>173</v>
      </c>
      <c r="I177" s="358" t="s">
        <v>71</v>
      </c>
      <c r="J177" s="474"/>
    </row>
    <row r="178" spans="2:11" x14ac:dyDescent="0.25">
      <c r="B178" s="157" t="s">
        <v>166</v>
      </c>
      <c r="C178" s="158">
        <f>I130</f>
        <v>103397.54991626265</v>
      </c>
      <c r="D178" s="139"/>
      <c r="G178" s="359" t="s">
        <v>174</v>
      </c>
      <c r="H178" s="360">
        <v>4.2999999999999997E-2</v>
      </c>
      <c r="I178" s="360">
        <v>4.0031917567422241E-2</v>
      </c>
      <c r="J178" s="475"/>
    </row>
    <row r="179" spans="2:11" x14ac:dyDescent="0.25">
      <c r="B179" s="157" t="s">
        <v>48</v>
      </c>
      <c r="C179" s="158">
        <f>'2022-2023 '!I126</f>
        <v>263152.0995141475</v>
      </c>
      <c r="D179" s="139"/>
      <c r="G179" s="359" t="s">
        <v>175</v>
      </c>
      <c r="H179" s="360">
        <v>2.2100000000000002E-2</v>
      </c>
      <c r="I179" s="360">
        <v>1.6037994943205441E-2</v>
      </c>
      <c r="J179" s="475"/>
    </row>
    <row r="180" spans="2:11" x14ac:dyDescent="0.25">
      <c r="B180" s="157" t="s">
        <v>50</v>
      </c>
      <c r="C180" s="158">
        <f>'Budget template'!I91</f>
        <v>0.2</v>
      </c>
      <c r="D180" s="139"/>
      <c r="G180" s="359" t="s">
        <v>176</v>
      </c>
      <c r="H180" s="360">
        <v>0.01</v>
      </c>
      <c r="I180" s="360">
        <v>1.3088649033094736E-2</v>
      </c>
      <c r="J180" s="475"/>
    </row>
    <row r="181" spans="2:11" x14ac:dyDescent="0.25">
      <c r="B181" s="141" t="s">
        <v>58</v>
      </c>
      <c r="C181" s="159">
        <f>SUM(C178:C180)</f>
        <v>366549.84943041013</v>
      </c>
      <c r="D181" s="159"/>
      <c r="E181" s="363"/>
      <c r="F181" s="363"/>
      <c r="G181" s="359" t="s">
        <v>177</v>
      </c>
      <c r="H181" s="360">
        <v>0</v>
      </c>
      <c r="I181" s="360">
        <v>0</v>
      </c>
      <c r="J181" s="475"/>
    </row>
    <row r="182" spans="2:11" x14ac:dyDescent="0.25">
      <c r="G182" s="361" t="s">
        <v>178</v>
      </c>
      <c r="H182" s="362">
        <f>SUM(H178:H181)</f>
        <v>7.5099999999999986E-2</v>
      </c>
      <c r="I182" s="362">
        <f>SUM(I178:I181)</f>
        <v>6.9158561543722408E-2</v>
      </c>
      <c r="J182" s="476"/>
    </row>
    <row r="183" spans="2:11" x14ac:dyDescent="0.25">
      <c r="I183" s="207"/>
    </row>
    <row r="184" spans="2:11" ht="15.6" x14ac:dyDescent="0.3">
      <c r="B184" s="174" t="s">
        <v>187</v>
      </c>
      <c r="C184" s="175"/>
      <c r="D184" s="175"/>
      <c r="E184" s="175"/>
      <c r="F184" s="175"/>
      <c r="G184" s="175"/>
      <c r="I184" s="207"/>
    </row>
    <row r="185" spans="2:11" ht="15" x14ac:dyDescent="0.25">
      <c r="B185" s="231" t="s">
        <v>110</v>
      </c>
      <c r="C185" s="237">
        <f>I58</f>
        <v>55525.980587039994</v>
      </c>
      <c r="D185" s="175"/>
      <c r="E185" s="175"/>
      <c r="F185" s="175"/>
      <c r="G185" s="175"/>
      <c r="I185" s="207"/>
    </row>
    <row r="186" spans="2:11" ht="15" x14ac:dyDescent="0.25">
      <c r="B186" s="232" t="s">
        <v>74</v>
      </c>
      <c r="C186" s="238">
        <f>I62</f>
        <v>240</v>
      </c>
      <c r="D186" s="109"/>
      <c r="E186" s="109"/>
      <c r="F186" s="109"/>
      <c r="G186" s="109"/>
      <c r="I186" s="207"/>
    </row>
    <row r="187" spans="2:11" ht="15" x14ac:dyDescent="0.25">
      <c r="B187" s="233" t="s">
        <v>65</v>
      </c>
      <c r="C187" s="238">
        <f>I67</f>
        <v>480</v>
      </c>
      <c r="D187" s="109"/>
      <c r="E187" s="109"/>
      <c r="F187" s="109"/>
      <c r="G187" s="109"/>
      <c r="I187" s="207"/>
      <c r="K187" s="210"/>
    </row>
    <row r="188" spans="2:11" ht="15" x14ac:dyDescent="0.25">
      <c r="B188" s="231" t="s">
        <v>38</v>
      </c>
      <c r="C188" s="238">
        <f>I73</f>
        <v>420</v>
      </c>
      <c r="D188" s="109"/>
      <c r="E188" s="109"/>
      <c r="F188" s="109"/>
      <c r="G188" s="109"/>
      <c r="I188" s="208"/>
    </row>
    <row r="189" spans="2:11" ht="15" x14ac:dyDescent="0.25">
      <c r="B189" s="231" t="s">
        <v>75</v>
      </c>
      <c r="C189" s="238">
        <f>I80</f>
        <v>31136</v>
      </c>
      <c r="D189" s="109"/>
      <c r="E189" s="109"/>
      <c r="F189" s="109"/>
      <c r="G189" s="109"/>
    </row>
    <row r="190" spans="2:11" ht="15" x14ac:dyDescent="0.25">
      <c r="B190" s="234" t="s">
        <v>73</v>
      </c>
      <c r="C190" s="238">
        <f>I84</f>
        <v>200</v>
      </c>
      <c r="D190" s="109"/>
      <c r="E190" s="109"/>
      <c r="F190" s="109"/>
      <c r="G190" s="109"/>
      <c r="I190" s="209"/>
    </row>
    <row r="191" spans="2:11" ht="15" x14ac:dyDescent="0.25">
      <c r="B191" s="231" t="s">
        <v>30</v>
      </c>
      <c r="C191" s="238">
        <f>I97</f>
        <v>3309.3666666666663</v>
      </c>
      <c r="D191" s="109"/>
      <c r="E191" s="109"/>
      <c r="F191" s="109"/>
      <c r="G191" s="109"/>
      <c r="I191" s="110"/>
      <c r="J191" s="467"/>
    </row>
    <row r="192" spans="2:11" ht="15" x14ac:dyDescent="0.25">
      <c r="B192" s="231" t="s">
        <v>69</v>
      </c>
      <c r="C192" s="237">
        <f>I100</f>
        <v>924.67859999999996</v>
      </c>
      <c r="D192" s="175"/>
      <c r="E192" s="175"/>
      <c r="F192" s="175"/>
      <c r="G192" s="175"/>
    </row>
    <row r="193" spans="2:7" ht="15.6" x14ac:dyDescent="0.3">
      <c r="B193" s="235" t="s">
        <v>111</v>
      </c>
      <c r="C193" s="239">
        <f>SUM(C185:C192)</f>
        <v>92236.025853706655</v>
      </c>
      <c r="D193" s="174"/>
      <c r="E193" s="174"/>
      <c r="F193" s="174"/>
      <c r="G193" s="174"/>
    </row>
    <row r="194" spans="2:7" ht="15" x14ac:dyDescent="0.25">
      <c r="B194" s="231"/>
      <c r="C194" s="231"/>
      <c r="D194" s="175"/>
      <c r="E194" s="175"/>
      <c r="F194" s="175"/>
      <c r="G194" s="175"/>
    </row>
    <row r="195" spans="2:7" ht="15.6" x14ac:dyDescent="0.3">
      <c r="B195" s="235" t="s">
        <v>112</v>
      </c>
      <c r="C195" s="239">
        <f>I129</f>
        <v>2770.0010000000002</v>
      </c>
      <c r="D195" s="174"/>
      <c r="E195" s="174"/>
      <c r="F195" s="174"/>
      <c r="G195" s="174"/>
    </row>
    <row r="196" spans="2:7" ht="15" x14ac:dyDescent="0.25">
      <c r="B196" s="231"/>
      <c r="C196" s="231"/>
      <c r="D196" s="175"/>
      <c r="E196" s="175"/>
      <c r="F196" s="175"/>
      <c r="G196" s="175"/>
    </row>
    <row r="197" spans="2:7" ht="15.6" x14ac:dyDescent="0.3">
      <c r="B197" s="235" t="s">
        <v>71</v>
      </c>
      <c r="C197" s="239">
        <f>I49</f>
        <v>8391.5230625559998</v>
      </c>
      <c r="D197" s="174"/>
      <c r="E197" s="174"/>
      <c r="F197" s="174"/>
      <c r="G197" s="174"/>
    </row>
    <row r="198" spans="2:7" ht="15" x14ac:dyDescent="0.25">
      <c r="B198" s="231"/>
      <c r="C198" s="314">
        <f>+C49</f>
        <v>9.0978801231804948E-2</v>
      </c>
      <c r="D198" s="175"/>
      <c r="E198" s="175"/>
      <c r="F198" s="175"/>
      <c r="G198" s="175"/>
    </row>
    <row r="199" spans="2:7" ht="15" x14ac:dyDescent="0.25">
      <c r="B199" s="231"/>
      <c r="C199" s="231"/>
      <c r="D199" s="175"/>
      <c r="E199" s="175"/>
      <c r="F199" s="175"/>
      <c r="G199" s="175"/>
    </row>
    <row r="200" spans="2:7" ht="15.6" x14ac:dyDescent="0.3">
      <c r="B200" s="236" t="s">
        <v>72</v>
      </c>
      <c r="C200" s="240">
        <f>C193+C195+C197</f>
        <v>103397.54991626265</v>
      </c>
      <c r="D200" s="174"/>
      <c r="E200" s="174"/>
      <c r="F200" s="174"/>
      <c r="G200" s="174"/>
    </row>
    <row r="201" spans="2:7" x14ac:dyDescent="0.25">
      <c r="C201" s="110">
        <f>+C200-I130</f>
        <v>0</v>
      </c>
    </row>
  </sheetData>
  <mergeCells count="38">
    <mergeCell ref="A103:A104"/>
    <mergeCell ref="B103:B104"/>
    <mergeCell ref="C103:L103"/>
    <mergeCell ref="C104:G104"/>
    <mergeCell ref="A1:L1"/>
    <mergeCell ref="A2:B2"/>
    <mergeCell ref="A3:A4"/>
    <mergeCell ref="B3:B4"/>
    <mergeCell ref="C3:L3"/>
    <mergeCell ref="C4:G4"/>
    <mergeCell ref="A50:A51"/>
    <mergeCell ref="B50:B51"/>
    <mergeCell ref="C50:L50"/>
    <mergeCell ref="C51:G51"/>
    <mergeCell ref="A52:A102"/>
    <mergeCell ref="C2:I2"/>
    <mergeCell ref="A105:A116"/>
    <mergeCell ref="A118:A122"/>
    <mergeCell ref="B118:B119"/>
    <mergeCell ref="C118:G119"/>
    <mergeCell ref="H118:H119"/>
    <mergeCell ref="A124:A128"/>
    <mergeCell ref="B124:B125"/>
    <mergeCell ref="C124:G125"/>
    <mergeCell ref="H124:H125"/>
    <mergeCell ref="I124:I125"/>
    <mergeCell ref="C160:L160"/>
    <mergeCell ref="C151:L151"/>
    <mergeCell ref="C152:L152"/>
    <mergeCell ref="C153:L153"/>
    <mergeCell ref="C130:H130"/>
    <mergeCell ref="C149:L149"/>
    <mergeCell ref="Q151:T151"/>
    <mergeCell ref="C154:L154"/>
    <mergeCell ref="C156:L156"/>
    <mergeCell ref="L118:L119"/>
    <mergeCell ref="L124:L125"/>
    <mergeCell ref="I118:I119"/>
  </mergeCells>
  <pageMargins left="0.7" right="0.7" top="0.75" bottom="0.75" header="0.3" footer="0.3"/>
  <pageSetup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3"/>
  <sheetViews>
    <sheetView workbookViewId="0">
      <selection activeCell="B78" sqref="B78"/>
    </sheetView>
  </sheetViews>
  <sheetFormatPr defaultRowHeight="13.2" x14ac:dyDescent="0.25"/>
  <cols>
    <col min="2" max="2" width="46.44140625" customWidth="1"/>
    <col min="8" max="8" width="10.44140625" customWidth="1"/>
    <col min="9" max="9" width="16.44140625" customWidth="1"/>
    <col min="10" max="10" width="12.44140625" style="58" customWidth="1"/>
    <col min="11" max="11" width="53.5546875" customWidth="1"/>
    <col min="12" max="12" width="24.44140625" style="102" customWidth="1"/>
    <col min="13" max="13" width="17.44140625" style="102" customWidth="1"/>
    <col min="14" max="16" width="8.5546875" style="102" customWidth="1"/>
    <col min="17" max="19" width="8.5546875" style="102" hidden="1" customWidth="1"/>
    <col min="20" max="20" width="15.5546875" hidden="1" customWidth="1"/>
    <col min="21" max="21" width="8.5546875" hidden="1" customWidth="1"/>
    <col min="22" max="22" width="8.5546875" customWidth="1"/>
  </cols>
  <sheetData>
    <row r="1" spans="1:19" ht="21.6" thickBot="1" x14ac:dyDescent="0.3">
      <c r="A1" s="569" t="s">
        <v>211</v>
      </c>
      <c r="B1" s="569"/>
      <c r="C1" s="569"/>
      <c r="D1" s="569"/>
      <c r="E1" s="569"/>
      <c r="F1" s="569"/>
      <c r="G1" s="569"/>
      <c r="H1" s="569"/>
      <c r="I1" s="569"/>
      <c r="J1" s="569"/>
      <c r="K1" s="569"/>
    </row>
    <row r="2" spans="1:19" ht="40.35" customHeight="1" thickBot="1" x14ac:dyDescent="0.3">
      <c r="A2" s="570" t="s">
        <v>44</v>
      </c>
      <c r="B2" s="570"/>
      <c r="C2" s="576" t="s">
        <v>93</v>
      </c>
      <c r="D2" s="577"/>
      <c r="E2" s="577"/>
      <c r="F2" s="577"/>
      <c r="G2" s="577"/>
      <c r="H2" s="577"/>
      <c r="I2" s="578"/>
      <c r="J2" s="214" t="s">
        <v>94</v>
      </c>
      <c r="K2" s="214" t="s">
        <v>95</v>
      </c>
      <c r="L2" s="102" t="s">
        <v>212</v>
      </c>
    </row>
    <row r="3" spans="1:19" ht="25.35" customHeight="1" thickBot="1" x14ac:dyDescent="0.3">
      <c r="A3" s="561" t="s">
        <v>1</v>
      </c>
      <c r="B3" s="549" t="s">
        <v>0</v>
      </c>
      <c r="C3" s="563" t="s">
        <v>162</v>
      </c>
      <c r="D3" s="564"/>
      <c r="E3" s="564"/>
      <c r="F3" s="564"/>
      <c r="G3" s="564"/>
      <c r="H3" s="564"/>
      <c r="I3" s="564"/>
      <c r="J3" s="564"/>
      <c r="K3" s="565"/>
      <c r="N3" s="103"/>
      <c r="O3" s="103"/>
      <c r="P3" s="103"/>
      <c r="Q3" s="103"/>
      <c r="R3" s="103"/>
      <c r="S3" s="103"/>
    </row>
    <row r="4" spans="1:19" ht="27" thickBot="1" x14ac:dyDescent="0.3">
      <c r="A4" s="562"/>
      <c r="B4" s="550"/>
      <c r="C4" s="585" t="s">
        <v>8</v>
      </c>
      <c r="D4" s="567"/>
      <c r="E4" s="567"/>
      <c r="F4" s="567"/>
      <c r="G4" s="568"/>
      <c r="H4" s="494" t="s">
        <v>2</v>
      </c>
      <c r="I4" s="12" t="s">
        <v>36</v>
      </c>
      <c r="J4" s="50"/>
      <c r="K4" s="35" t="s">
        <v>9</v>
      </c>
    </row>
    <row r="5" spans="1:19" x14ac:dyDescent="0.25">
      <c r="A5" s="213"/>
      <c r="B5" s="321"/>
      <c r="C5" s="262"/>
      <c r="D5" s="268"/>
      <c r="E5" s="268"/>
      <c r="F5" s="268"/>
      <c r="G5" s="264"/>
      <c r="H5" s="281"/>
      <c r="I5" s="218"/>
      <c r="J5" s="219"/>
      <c r="K5" s="251"/>
      <c r="M5" s="104"/>
      <c r="N5" s="104"/>
      <c r="O5" s="104"/>
      <c r="P5" s="104"/>
      <c r="Q5" s="104"/>
      <c r="R5" s="104"/>
      <c r="S5" s="104"/>
    </row>
    <row r="6" spans="1:19" ht="24.6" customHeight="1" x14ac:dyDescent="0.25">
      <c r="A6" s="213"/>
      <c r="B6" s="254"/>
      <c r="C6" s="262"/>
      <c r="D6" s="268"/>
      <c r="E6" s="268"/>
      <c r="F6" s="268"/>
      <c r="G6" s="264"/>
      <c r="H6" s="281"/>
      <c r="I6" s="218"/>
      <c r="J6" s="219"/>
      <c r="K6" s="251"/>
      <c r="L6" s="148"/>
      <c r="M6" s="104"/>
      <c r="N6" s="104"/>
      <c r="O6" s="104"/>
      <c r="P6" s="104"/>
      <c r="Q6" s="104"/>
      <c r="R6" s="104"/>
      <c r="S6" s="104"/>
    </row>
    <row r="7" spans="1:19" ht="21" customHeight="1" x14ac:dyDescent="0.25">
      <c r="A7" s="213"/>
      <c r="B7" s="321"/>
      <c r="C7" s="262"/>
      <c r="D7" s="268"/>
      <c r="E7" s="268"/>
      <c r="F7" s="268"/>
      <c r="G7" s="264"/>
      <c r="H7" s="281"/>
      <c r="I7" s="218"/>
      <c r="J7" s="219"/>
      <c r="K7" s="251"/>
      <c r="M7" s="104"/>
      <c r="N7" s="104"/>
      <c r="O7" s="104"/>
      <c r="P7" s="104"/>
      <c r="Q7" s="104"/>
      <c r="R7" s="104"/>
      <c r="S7" s="104"/>
    </row>
    <row r="8" spans="1:19" ht="13.8" thickBot="1" x14ac:dyDescent="0.3">
      <c r="A8" s="213"/>
      <c r="B8" s="321"/>
      <c r="C8" s="495"/>
      <c r="D8" s="496"/>
      <c r="E8" s="496"/>
      <c r="F8" s="496"/>
      <c r="G8" s="497"/>
      <c r="H8" s="498"/>
      <c r="I8" s="499"/>
      <c r="J8" s="500"/>
      <c r="K8" s="501"/>
      <c r="M8" s="104"/>
      <c r="N8" s="104"/>
      <c r="O8" s="104"/>
      <c r="P8" s="104"/>
      <c r="Q8" s="104"/>
      <c r="R8" s="104"/>
      <c r="S8" s="104"/>
    </row>
    <row r="9" spans="1:19" ht="13.8" thickBot="1" x14ac:dyDescent="0.3">
      <c r="A9" s="561" t="s">
        <v>1</v>
      </c>
      <c r="B9" s="549" t="s">
        <v>0</v>
      </c>
      <c r="C9" s="563"/>
      <c r="D9" s="564"/>
      <c r="E9" s="564"/>
      <c r="F9" s="564"/>
      <c r="G9" s="564"/>
      <c r="H9" s="564"/>
      <c r="I9" s="564"/>
      <c r="J9" s="564"/>
      <c r="K9" s="565"/>
      <c r="L9" s="105"/>
      <c r="M9" s="106"/>
      <c r="N9" s="106"/>
      <c r="O9" s="106"/>
      <c r="P9" s="106"/>
      <c r="Q9" s="106"/>
      <c r="R9" s="106"/>
      <c r="S9" s="106"/>
    </row>
    <row r="10" spans="1:19" ht="53.25" customHeight="1" thickBot="1" x14ac:dyDescent="0.3">
      <c r="A10" s="562"/>
      <c r="B10" s="550"/>
      <c r="C10" s="585" t="s">
        <v>8</v>
      </c>
      <c r="D10" s="567"/>
      <c r="E10" s="567"/>
      <c r="F10" s="567"/>
      <c r="G10" s="568"/>
      <c r="H10" s="494" t="s">
        <v>2</v>
      </c>
      <c r="I10" s="12" t="s">
        <v>37</v>
      </c>
      <c r="J10" s="50" t="s">
        <v>17</v>
      </c>
      <c r="K10" s="35" t="s">
        <v>9</v>
      </c>
      <c r="M10" s="104"/>
      <c r="N10" s="104"/>
      <c r="O10" s="104"/>
      <c r="P10" s="104"/>
      <c r="Q10" s="104"/>
      <c r="R10" s="104"/>
      <c r="S10" s="104"/>
    </row>
    <row r="11" spans="1:19" x14ac:dyDescent="0.25">
      <c r="A11" s="560"/>
      <c r="B11" s="21"/>
      <c r="C11" s="47"/>
      <c r="D11" s="18"/>
      <c r="E11" s="18"/>
      <c r="F11" s="18"/>
      <c r="G11" s="19"/>
      <c r="H11" s="128"/>
      <c r="I11" s="126"/>
      <c r="J11" s="502"/>
      <c r="K11" s="49"/>
    </row>
    <row r="12" spans="1:19" x14ac:dyDescent="0.25">
      <c r="A12" s="560"/>
      <c r="B12" s="21"/>
      <c r="C12" s="192"/>
      <c r="D12" s="193"/>
      <c r="E12" s="193"/>
      <c r="F12" s="193"/>
      <c r="G12" s="194"/>
      <c r="H12" s="128"/>
      <c r="I12" s="126"/>
      <c r="J12" s="502"/>
      <c r="K12" s="48"/>
    </row>
    <row r="13" spans="1:19" x14ac:dyDescent="0.25">
      <c r="A13" s="560"/>
      <c r="B13" s="21"/>
      <c r="C13" s="192"/>
      <c r="D13" s="193"/>
      <c r="E13" s="193"/>
      <c r="F13" s="193"/>
      <c r="G13" s="194"/>
      <c r="H13" s="128"/>
      <c r="I13" s="126"/>
      <c r="J13" s="502"/>
      <c r="K13" s="48"/>
    </row>
    <row r="14" spans="1:19" x14ac:dyDescent="0.25">
      <c r="A14" s="560"/>
      <c r="B14" s="46" t="s">
        <v>25</v>
      </c>
      <c r="C14" s="192"/>
      <c r="D14" s="193"/>
      <c r="E14" s="193"/>
      <c r="F14" s="193"/>
      <c r="G14" s="194"/>
      <c r="H14" s="128"/>
      <c r="I14" s="126"/>
      <c r="J14" s="502"/>
      <c r="K14" s="195"/>
    </row>
    <row r="15" spans="1:19" ht="21" customHeight="1" x14ac:dyDescent="0.25">
      <c r="A15" s="560"/>
      <c r="B15" s="71" t="s">
        <v>213</v>
      </c>
      <c r="C15" s="167"/>
      <c r="D15" s="393"/>
      <c r="E15" s="190"/>
      <c r="F15" s="190"/>
      <c r="G15" s="191"/>
      <c r="H15" s="123"/>
      <c r="I15" s="124"/>
      <c r="J15" s="131"/>
      <c r="K15" s="395"/>
      <c r="L15" s="394"/>
      <c r="Q15" s="103"/>
    </row>
    <row r="16" spans="1:19" ht="79.2" x14ac:dyDescent="0.25">
      <c r="A16" s="560"/>
      <c r="B16" s="65" t="s">
        <v>214</v>
      </c>
      <c r="C16" s="196">
        <v>20</v>
      </c>
      <c r="D16" s="197">
        <v>420</v>
      </c>
      <c r="E16" s="197"/>
      <c r="F16" s="197"/>
      <c r="G16" s="198"/>
      <c r="H16" s="199">
        <f>C16*D16</f>
        <v>8400</v>
      </c>
      <c r="I16" s="200"/>
      <c r="J16" s="131"/>
      <c r="K16" s="201" t="s">
        <v>215</v>
      </c>
      <c r="L16" s="226"/>
      <c r="R16" s="102">
        <f>560-413</f>
        <v>147</v>
      </c>
    </row>
    <row r="17" spans="1:22" x14ac:dyDescent="0.25">
      <c r="A17" s="560"/>
      <c r="B17" s="65" t="s">
        <v>216</v>
      </c>
      <c r="C17" s="196"/>
      <c r="D17" s="197"/>
      <c r="E17" s="197"/>
      <c r="F17" s="197"/>
      <c r="G17" s="198"/>
      <c r="H17" s="199">
        <f>H16*0.14</f>
        <v>1176</v>
      </c>
      <c r="I17" s="200"/>
      <c r="J17" s="131"/>
      <c r="K17" s="201" t="s">
        <v>217</v>
      </c>
      <c r="L17" s="226"/>
    </row>
    <row r="18" spans="1:22" x14ac:dyDescent="0.25">
      <c r="A18" s="560"/>
      <c r="B18" s="65" t="s">
        <v>218</v>
      </c>
      <c r="C18" s="170"/>
      <c r="D18" s="202"/>
      <c r="E18" s="202"/>
      <c r="F18" s="202"/>
      <c r="G18" s="203"/>
      <c r="H18" s="131">
        <v>2000</v>
      </c>
      <c r="I18" s="124"/>
      <c r="J18" s="131"/>
      <c r="K18" s="48" t="s">
        <v>219</v>
      </c>
      <c r="R18" s="102">
        <f>147*20</f>
        <v>2940</v>
      </c>
    </row>
    <row r="19" spans="1:22" ht="13.8" x14ac:dyDescent="0.25">
      <c r="A19" s="560"/>
      <c r="B19" s="21"/>
      <c r="C19" s="47"/>
      <c r="D19" s="18"/>
      <c r="E19" s="18"/>
      <c r="F19" s="18"/>
      <c r="G19" s="19"/>
      <c r="H19" s="125" t="s">
        <v>27</v>
      </c>
      <c r="I19" s="126">
        <f>SUM(H15:H18)</f>
        <v>11576</v>
      </c>
      <c r="J19" s="502"/>
      <c r="K19" s="37"/>
      <c r="L19" s="107"/>
      <c r="N19" s="148"/>
      <c r="R19" s="148">
        <f>13500-2940</f>
        <v>10560</v>
      </c>
    </row>
    <row r="20" spans="1:22" ht="13.8" x14ac:dyDescent="0.25">
      <c r="A20" s="560"/>
      <c r="B20" s="21"/>
      <c r="C20" s="47"/>
      <c r="D20" s="18"/>
      <c r="E20" s="18"/>
      <c r="F20" s="18"/>
      <c r="G20" s="19"/>
      <c r="H20" s="125"/>
      <c r="I20" s="126"/>
      <c r="J20" s="502"/>
      <c r="K20" s="37"/>
      <c r="M20" s="108"/>
      <c r="N20" s="108"/>
    </row>
    <row r="21" spans="1:22" ht="12" customHeight="1" x14ac:dyDescent="0.25">
      <c r="A21" s="560"/>
      <c r="B21" s="21"/>
      <c r="C21" s="47"/>
      <c r="D21" s="18"/>
      <c r="E21" s="18"/>
      <c r="F21" s="18"/>
      <c r="G21" s="19"/>
      <c r="H21" s="128"/>
      <c r="I21" s="126"/>
      <c r="J21" s="502"/>
      <c r="K21" s="37"/>
    </row>
    <row r="22" spans="1:22" ht="12" customHeight="1" x14ac:dyDescent="0.25">
      <c r="A22" s="560"/>
      <c r="B22" s="21"/>
      <c r="C22" s="47"/>
      <c r="D22" s="18"/>
      <c r="E22" s="18"/>
      <c r="F22" s="18"/>
      <c r="G22" s="19"/>
      <c r="H22" s="128"/>
      <c r="I22" s="126"/>
      <c r="J22" s="502"/>
      <c r="K22" s="37"/>
    </row>
    <row r="23" spans="1:22" x14ac:dyDescent="0.25">
      <c r="A23" s="560"/>
      <c r="B23" s="46"/>
      <c r="C23" s="47"/>
      <c r="D23" s="18"/>
      <c r="E23" s="18"/>
      <c r="F23" s="18"/>
      <c r="G23" s="19"/>
      <c r="H23" s="128"/>
      <c r="I23" s="126"/>
      <c r="J23" s="502"/>
      <c r="K23" s="37"/>
    </row>
    <row r="24" spans="1:22" x14ac:dyDescent="0.25">
      <c r="A24" s="560"/>
      <c r="B24" s="71"/>
      <c r="C24" s="66"/>
      <c r="D24" s="70"/>
      <c r="E24" s="70"/>
      <c r="F24" s="70"/>
      <c r="G24" s="67"/>
      <c r="H24" s="128"/>
      <c r="I24" s="124"/>
      <c r="J24" s="131"/>
      <c r="K24" s="48"/>
    </row>
    <row r="25" spans="1:22" x14ac:dyDescent="0.25">
      <c r="A25" s="560"/>
      <c r="B25" s="21"/>
      <c r="C25" s="47"/>
      <c r="D25" s="18"/>
      <c r="E25" s="18"/>
      <c r="F25" s="18"/>
      <c r="G25" s="19"/>
      <c r="H25" s="125"/>
      <c r="I25" s="126"/>
      <c r="J25" s="502"/>
      <c r="K25" s="37"/>
    </row>
    <row r="26" spans="1:22" x14ac:dyDescent="0.25">
      <c r="A26" s="560"/>
      <c r="B26" s="21"/>
      <c r="C26" s="47"/>
      <c r="D26" s="193"/>
      <c r="E26" s="18"/>
      <c r="F26" s="18"/>
      <c r="G26" s="19"/>
      <c r="H26" s="128"/>
      <c r="I26" s="126"/>
      <c r="J26" s="502"/>
      <c r="K26" s="37"/>
    </row>
    <row r="27" spans="1:22" x14ac:dyDescent="0.25">
      <c r="A27" s="560"/>
      <c r="B27" s="46"/>
      <c r="C27" s="47"/>
      <c r="D27" s="193"/>
      <c r="E27" s="18"/>
      <c r="F27" s="18"/>
      <c r="G27" s="19"/>
      <c r="H27" s="128"/>
      <c r="I27" s="132"/>
      <c r="J27" s="502"/>
      <c r="K27" s="37"/>
    </row>
    <row r="28" spans="1:22" x14ac:dyDescent="0.25">
      <c r="A28" s="560"/>
      <c r="B28" s="65"/>
      <c r="C28" s="205"/>
      <c r="D28" s="202"/>
      <c r="E28" s="70"/>
      <c r="F28" s="70"/>
      <c r="G28" s="67"/>
      <c r="H28" s="131"/>
      <c r="I28" s="133"/>
      <c r="J28" s="166"/>
      <c r="K28" s="201"/>
      <c r="L28" s="105"/>
      <c r="V28" s="154"/>
    </row>
    <row r="29" spans="1:22" x14ac:dyDescent="0.25">
      <c r="A29" s="560"/>
      <c r="B29" s="161"/>
      <c r="C29" s="66"/>
      <c r="D29" s="202"/>
      <c r="E29" s="70"/>
      <c r="F29" s="70"/>
      <c r="G29" s="67"/>
      <c r="H29" s="123"/>
      <c r="I29" s="133"/>
      <c r="J29" s="166"/>
      <c r="K29" s="242"/>
    </row>
    <row r="30" spans="1:22" x14ac:dyDescent="0.25">
      <c r="A30" s="560"/>
      <c r="B30" s="21"/>
      <c r="C30" s="47"/>
      <c r="D30" s="387"/>
      <c r="E30" s="69"/>
      <c r="F30" s="69"/>
      <c r="G30" s="19"/>
      <c r="H30" s="128"/>
      <c r="I30" s="126"/>
      <c r="J30" s="502"/>
      <c r="K30" s="37"/>
    </row>
    <row r="31" spans="1:22" x14ac:dyDescent="0.25">
      <c r="A31" s="560"/>
      <c r="B31" s="61"/>
      <c r="C31" s="62"/>
      <c r="D31" s="386"/>
      <c r="E31" s="83"/>
      <c r="F31" s="83"/>
      <c r="G31" s="64"/>
      <c r="H31" s="123"/>
      <c r="I31" s="124"/>
      <c r="J31" s="131"/>
      <c r="K31" s="82"/>
      <c r="N31" s="162"/>
    </row>
    <row r="32" spans="1:22" x14ac:dyDescent="0.25">
      <c r="A32" s="560"/>
      <c r="B32" s="149"/>
      <c r="C32" s="47"/>
      <c r="D32" s="69"/>
      <c r="E32" s="69"/>
      <c r="F32" s="69"/>
      <c r="G32" s="19"/>
      <c r="H32" s="125"/>
      <c r="I32" s="126"/>
      <c r="J32" s="502"/>
      <c r="K32" s="37"/>
    </row>
    <row r="33" spans="1:11" ht="13.8" thickBot="1" x14ac:dyDescent="0.3">
      <c r="A33" s="560"/>
      <c r="B33" s="28"/>
      <c r="C33" s="7"/>
      <c r="D33" s="8"/>
      <c r="E33" s="8"/>
      <c r="F33" s="8"/>
      <c r="G33" s="9"/>
      <c r="H33" s="134"/>
      <c r="I33" s="136"/>
      <c r="J33" s="503"/>
      <c r="K33" s="189"/>
    </row>
    <row r="34" spans="1:11" ht="13.8" thickBot="1" x14ac:dyDescent="0.3">
      <c r="A34" s="575"/>
      <c r="B34" s="2" t="s">
        <v>4</v>
      </c>
      <c r="C34" s="6"/>
      <c r="D34" s="5"/>
      <c r="E34" s="5"/>
      <c r="F34" s="5"/>
      <c r="G34" s="5"/>
      <c r="H34" s="137"/>
      <c r="I34" s="137">
        <f>SUM(I11:I33)</f>
        <v>11576</v>
      </c>
      <c r="J34" s="53"/>
      <c r="K34" s="38"/>
    </row>
    <row r="35" spans="1:11" ht="14.1" customHeight="1" thickBot="1" x14ac:dyDescent="0.3">
      <c r="A35" s="561" t="s">
        <v>1</v>
      </c>
      <c r="B35" s="549" t="s">
        <v>0</v>
      </c>
      <c r="C35" s="563" t="s">
        <v>162</v>
      </c>
      <c r="D35" s="564"/>
      <c r="E35" s="564"/>
      <c r="F35" s="564"/>
      <c r="G35" s="564"/>
      <c r="H35" s="564"/>
      <c r="I35" s="564"/>
      <c r="J35" s="564"/>
      <c r="K35" s="565"/>
    </row>
    <row r="36" spans="1:11" ht="27" thickBot="1" x14ac:dyDescent="0.3">
      <c r="A36" s="562"/>
      <c r="B36" s="550"/>
      <c r="C36" s="585" t="s">
        <v>8</v>
      </c>
      <c r="D36" s="567"/>
      <c r="E36" s="567"/>
      <c r="F36" s="567"/>
      <c r="G36" s="568"/>
      <c r="H36" s="494" t="s">
        <v>2</v>
      </c>
      <c r="I36" s="12" t="s">
        <v>37</v>
      </c>
      <c r="J36" s="50" t="s">
        <v>17</v>
      </c>
      <c r="K36" s="35" t="s">
        <v>9</v>
      </c>
    </row>
    <row r="37" spans="1:11" ht="13.35" hidden="1" customHeight="1" x14ac:dyDescent="0.25">
      <c r="A37" s="559" t="s">
        <v>5</v>
      </c>
      <c r="B37" s="21"/>
      <c r="C37" s="17"/>
      <c r="D37" s="42"/>
      <c r="E37" s="42"/>
      <c r="F37" s="42"/>
      <c r="G37" s="42"/>
      <c r="H37" s="4"/>
      <c r="I37" s="24"/>
      <c r="J37" s="52"/>
      <c r="K37" s="36"/>
    </row>
    <row r="38" spans="1:11" ht="13.35" hidden="1" customHeight="1" x14ac:dyDescent="0.25">
      <c r="A38" s="560"/>
      <c r="B38" s="21"/>
      <c r="C38" s="17"/>
      <c r="D38" s="40"/>
      <c r="E38" s="40"/>
      <c r="F38" s="40"/>
      <c r="G38" s="20"/>
      <c r="H38" s="4"/>
      <c r="I38" s="24"/>
      <c r="J38" s="52"/>
      <c r="K38" s="36"/>
    </row>
    <row r="39" spans="1:11" ht="13.35" hidden="1" customHeight="1" x14ac:dyDescent="0.25">
      <c r="A39" s="560"/>
      <c r="B39" s="21"/>
      <c r="C39" s="7"/>
      <c r="D39" s="11"/>
      <c r="E39" s="20"/>
      <c r="F39" s="20"/>
      <c r="G39" s="20"/>
      <c r="H39" s="4"/>
      <c r="I39" s="24"/>
      <c r="J39" s="52"/>
      <c r="K39" s="36"/>
    </row>
    <row r="40" spans="1:11" ht="13.35" hidden="1" customHeight="1" x14ac:dyDescent="0.25">
      <c r="A40" s="560"/>
      <c r="B40" s="10"/>
      <c r="C40" s="7"/>
      <c r="D40" s="22"/>
      <c r="E40" s="22"/>
      <c r="F40" s="22"/>
      <c r="G40" s="8"/>
      <c r="H40" s="4"/>
      <c r="I40" s="24"/>
      <c r="J40" s="52"/>
      <c r="K40" s="36"/>
    </row>
    <row r="41" spans="1:11" ht="13.35" hidden="1" customHeight="1" x14ac:dyDescent="0.25">
      <c r="A41" s="560"/>
      <c r="B41" s="10"/>
      <c r="C41" s="7"/>
      <c r="D41" s="22"/>
      <c r="E41" s="22"/>
      <c r="F41" s="22"/>
      <c r="G41" s="8"/>
      <c r="H41" s="4"/>
      <c r="I41" s="24"/>
      <c r="J41" s="52"/>
      <c r="K41" s="36"/>
    </row>
    <row r="42" spans="1:11" ht="13.35" hidden="1" customHeight="1" x14ac:dyDescent="0.25">
      <c r="A42" s="560"/>
      <c r="B42" s="10"/>
      <c r="C42" s="7"/>
      <c r="D42" s="11"/>
      <c r="E42" s="11"/>
      <c r="F42" s="11"/>
      <c r="G42" s="11"/>
      <c r="H42" s="4"/>
      <c r="I42" s="24"/>
      <c r="J42" s="52"/>
      <c r="K42" s="36"/>
    </row>
    <row r="43" spans="1:11" ht="13.35" hidden="1" customHeight="1" x14ac:dyDescent="0.25">
      <c r="A43" s="560"/>
      <c r="B43" s="32"/>
      <c r="C43" s="29"/>
      <c r="D43" s="41"/>
      <c r="E43" s="41"/>
      <c r="F43" s="41"/>
      <c r="G43" s="31"/>
      <c r="H43" s="33"/>
      <c r="I43" s="34"/>
      <c r="J43" s="54"/>
      <c r="K43" s="36"/>
    </row>
    <row r="44" spans="1:11" ht="13.35" hidden="1" customHeight="1" x14ac:dyDescent="0.25">
      <c r="A44" s="560"/>
      <c r="B44" s="32"/>
      <c r="C44" s="29"/>
      <c r="D44" s="30"/>
      <c r="E44" s="30"/>
      <c r="F44" s="30"/>
      <c r="G44" s="31"/>
      <c r="H44" s="33"/>
      <c r="I44" s="34"/>
      <c r="J44" s="54"/>
      <c r="K44" s="36"/>
    </row>
    <row r="45" spans="1:11" ht="13.35" hidden="1" customHeight="1" x14ac:dyDescent="0.25">
      <c r="A45" s="560"/>
      <c r="B45" s="32"/>
      <c r="C45" s="29"/>
      <c r="D45" s="30"/>
      <c r="E45" s="30"/>
      <c r="F45" s="30"/>
      <c r="G45" s="31"/>
      <c r="H45" s="33"/>
      <c r="I45" s="34"/>
      <c r="J45" s="54"/>
      <c r="K45" s="36"/>
    </row>
    <row r="46" spans="1:11" ht="13.35" hidden="1" customHeight="1" x14ac:dyDescent="0.25">
      <c r="A46" s="560"/>
      <c r="B46" s="10"/>
      <c r="C46" s="7"/>
      <c r="D46" s="8"/>
      <c r="E46" s="8"/>
      <c r="F46" s="8"/>
      <c r="G46" s="9"/>
      <c r="H46" s="4"/>
      <c r="I46" s="24"/>
      <c r="J46" s="52"/>
      <c r="K46" s="36"/>
    </row>
    <row r="47" spans="1:11" ht="13.35" hidden="1" customHeight="1" x14ac:dyDescent="0.25">
      <c r="A47" s="560"/>
      <c r="B47" s="13"/>
      <c r="C47" s="14"/>
      <c r="D47" s="15"/>
      <c r="E47" s="15"/>
      <c r="F47" s="15"/>
      <c r="G47" s="16"/>
      <c r="H47" s="4"/>
      <c r="I47" s="24"/>
      <c r="J47" s="52"/>
      <c r="K47" s="36"/>
    </row>
    <row r="48" spans="1:11" ht="13.8" thickBot="1" x14ac:dyDescent="0.3">
      <c r="A48" s="560"/>
      <c r="B48" s="1"/>
      <c r="C48" s="7"/>
      <c r="D48" s="8"/>
      <c r="E48" s="8"/>
      <c r="F48" s="8"/>
      <c r="G48" s="9"/>
      <c r="H48" s="4"/>
      <c r="I48" s="25"/>
      <c r="J48" s="51"/>
      <c r="K48" s="36"/>
    </row>
    <row r="49" spans="1:19" ht="13.8" thickBot="1" x14ac:dyDescent="0.3">
      <c r="A49" s="43"/>
      <c r="B49" s="2" t="s">
        <v>6</v>
      </c>
      <c r="C49" s="6"/>
      <c r="D49" s="5"/>
      <c r="E49" s="5"/>
      <c r="F49" s="5"/>
      <c r="G49" s="5"/>
      <c r="H49" s="3">
        <f>SUM(H48:H48)</f>
        <v>0</v>
      </c>
      <c r="I49" s="26"/>
      <c r="J49" s="57"/>
      <c r="K49" s="38"/>
    </row>
    <row r="50" spans="1:19" ht="26.85" customHeight="1" x14ac:dyDescent="0.25">
      <c r="A50" s="548" t="s">
        <v>11</v>
      </c>
      <c r="B50" s="549" t="s">
        <v>0</v>
      </c>
      <c r="C50" s="579" t="s">
        <v>8</v>
      </c>
      <c r="D50" s="580"/>
      <c r="E50" s="580"/>
      <c r="F50" s="580"/>
      <c r="G50" s="533"/>
      <c r="H50" s="583" t="s">
        <v>2</v>
      </c>
      <c r="I50" s="537" t="s">
        <v>37</v>
      </c>
      <c r="J50" s="72" t="s">
        <v>17</v>
      </c>
      <c r="K50" s="533" t="s">
        <v>9</v>
      </c>
    </row>
    <row r="51" spans="1:19" ht="13.8" thickBot="1" x14ac:dyDescent="0.3">
      <c r="A51" s="548"/>
      <c r="B51" s="550"/>
      <c r="C51" s="581"/>
      <c r="D51" s="582"/>
      <c r="E51" s="582"/>
      <c r="F51" s="582"/>
      <c r="G51" s="534"/>
      <c r="H51" s="584"/>
      <c r="I51" s="538"/>
      <c r="J51" s="73"/>
      <c r="K51" s="534"/>
    </row>
    <row r="52" spans="1:19" x14ac:dyDescent="0.25">
      <c r="A52" s="548"/>
      <c r="B52" s="46"/>
      <c r="C52" s="7"/>
      <c r="D52" s="8"/>
      <c r="E52" s="8"/>
      <c r="F52" s="8"/>
      <c r="G52" s="9"/>
      <c r="H52" s="23"/>
      <c r="I52" s="27"/>
      <c r="J52" s="56"/>
      <c r="K52" s="27"/>
    </row>
    <row r="53" spans="1:19" x14ac:dyDescent="0.25">
      <c r="A53" s="548"/>
      <c r="B53" s="65"/>
      <c r="C53" s="74"/>
      <c r="D53" s="84"/>
      <c r="E53" s="84"/>
      <c r="F53" s="84"/>
      <c r="G53" s="76"/>
      <c r="H53" s="77"/>
      <c r="I53" s="27"/>
      <c r="J53" s="56"/>
      <c r="K53" s="94"/>
    </row>
    <row r="54" spans="1:19" ht="13.8" thickBot="1" x14ac:dyDescent="0.3">
      <c r="A54" s="548"/>
      <c r="B54" s="21"/>
      <c r="C54" s="7"/>
      <c r="D54" s="8"/>
      <c r="E54" s="8"/>
      <c r="F54" s="8"/>
      <c r="G54" s="9"/>
      <c r="H54" s="23"/>
      <c r="I54" s="27"/>
      <c r="J54" s="56"/>
      <c r="K54" s="27"/>
    </row>
    <row r="55" spans="1:19" ht="13.8" thickBot="1" x14ac:dyDescent="0.3">
      <c r="A55" s="43"/>
      <c r="B55" s="2" t="s">
        <v>7</v>
      </c>
      <c r="C55" s="6"/>
      <c r="D55" s="5"/>
      <c r="E55" s="5"/>
      <c r="F55" s="5"/>
      <c r="G55" s="5"/>
      <c r="H55" s="3"/>
      <c r="I55" s="3">
        <f>H53</f>
        <v>0</v>
      </c>
      <c r="J55" s="53"/>
      <c r="K55" s="39"/>
    </row>
    <row r="56" spans="1:19" ht="26.85" customHeight="1" x14ac:dyDescent="0.25">
      <c r="A56" s="548" t="s">
        <v>12</v>
      </c>
      <c r="B56" s="549" t="s">
        <v>0</v>
      </c>
      <c r="C56" s="579" t="s">
        <v>8</v>
      </c>
      <c r="D56" s="580"/>
      <c r="E56" s="580"/>
      <c r="F56" s="580"/>
      <c r="G56" s="533"/>
      <c r="H56" s="583" t="s">
        <v>2</v>
      </c>
      <c r="I56" s="537" t="s">
        <v>37</v>
      </c>
      <c r="J56" s="72" t="s">
        <v>17</v>
      </c>
      <c r="K56" s="535" t="s">
        <v>9</v>
      </c>
    </row>
    <row r="57" spans="1:19" ht="13.8" thickBot="1" x14ac:dyDescent="0.3">
      <c r="A57" s="548"/>
      <c r="B57" s="550"/>
      <c r="C57" s="581"/>
      <c r="D57" s="582"/>
      <c r="E57" s="582"/>
      <c r="F57" s="582"/>
      <c r="G57" s="534"/>
      <c r="H57" s="584"/>
      <c r="I57" s="538"/>
      <c r="J57" s="55"/>
      <c r="K57" s="536"/>
    </row>
    <row r="58" spans="1:19" x14ac:dyDescent="0.25">
      <c r="A58" s="548"/>
      <c r="B58" s="65"/>
      <c r="C58" s="74"/>
      <c r="D58" s="389"/>
      <c r="E58" s="75"/>
      <c r="F58" s="75"/>
      <c r="G58" s="76"/>
      <c r="H58" s="225"/>
      <c r="I58" s="78"/>
      <c r="J58" s="504"/>
      <c r="K58" s="78"/>
    </row>
    <row r="59" spans="1:19" x14ac:dyDescent="0.25">
      <c r="A59" s="548"/>
      <c r="B59" s="65"/>
      <c r="C59" s="74"/>
      <c r="D59" s="389"/>
      <c r="E59" s="75"/>
      <c r="F59" s="75"/>
      <c r="G59" s="76"/>
      <c r="H59" s="68"/>
      <c r="I59" s="78"/>
      <c r="J59" s="505"/>
      <c r="K59" s="78"/>
    </row>
    <row r="60" spans="1:19" ht="13.8" thickBot="1" x14ac:dyDescent="0.3">
      <c r="A60" s="548"/>
      <c r="B60" s="21"/>
      <c r="C60" s="7"/>
      <c r="D60" s="8"/>
      <c r="E60" s="8"/>
      <c r="F60" s="8"/>
      <c r="G60" s="9"/>
      <c r="H60" s="68"/>
      <c r="I60" s="27"/>
      <c r="J60" s="506"/>
      <c r="K60" s="27"/>
    </row>
    <row r="61" spans="1:19" ht="15.6" thickBot="1" x14ac:dyDescent="0.3">
      <c r="A61" s="43"/>
      <c r="B61" s="116" t="s">
        <v>13</v>
      </c>
      <c r="C61" s="113"/>
      <c r="D61" s="114"/>
      <c r="E61" s="114"/>
      <c r="F61" s="114"/>
      <c r="G61" s="114"/>
      <c r="H61" s="115"/>
      <c r="I61" s="146">
        <f>SUM(H58:H60)</f>
        <v>0</v>
      </c>
      <c r="J61" s="57"/>
      <c r="K61" s="44"/>
      <c r="L61" s="109"/>
      <c r="M61" s="109"/>
      <c r="N61" s="109"/>
      <c r="O61" s="109"/>
      <c r="P61" s="109"/>
      <c r="Q61" s="109"/>
      <c r="R61" s="109"/>
      <c r="S61" s="109"/>
    </row>
    <row r="62" spans="1:19" ht="16.2" thickBot="1" x14ac:dyDescent="0.35">
      <c r="A62" s="45"/>
      <c r="B62" s="112" t="s">
        <v>3</v>
      </c>
      <c r="C62" s="542"/>
      <c r="D62" s="543"/>
      <c r="E62" s="543"/>
      <c r="F62" s="543"/>
      <c r="G62" s="543"/>
      <c r="H62" s="544"/>
      <c r="I62" s="147">
        <f>I61+I55+I34</f>
        <v>11576</v>
      </c>
      <c r="J62" s="507"/>
      <c r="K62" s="350" t="s">
        <v>165</v>
      </c>
      <c r="L62" s="109"/>
      <c r="M62" s="109"/>
      <c r="N62" s="109"/>
      <c r="O62" s="109"/>
      <c r="P62" s="109"/>
      <c r="Q62" s="109"/>
      <c r="R62" s="109"/>
      <c r="S62" s="109"/>
    </row>
    <row r="63" spans="1:19" ht="20.25" customHeight="1" x14ac:dyDescent="0.25">
      <c r="D63" s="80"/>
      <c r="E63" s="80"/>
      <c r="F63" s="80"/>
      <c r="G63" s="150"/>
      <c r="H63" s="79"/>
      <c r="I63" s="322"/>
      <c r="K63" s="150"/>
      <c r="L63" s="109"/>
      <c r="M63" s="109"/>
      <c r="N63" s="109"/>
      <c r="O63" s="109"/>
      <c r="P63" s="109"/>
      <c r="Q63" s="109"/>
      <c r="R63" s="109"/>
      <c r="S63" s="109"/>
    </row>
  </sheetData>
  <mergeCells count="30">
    <mergeCell ref="A35:A36"/>
    <mergeCell ref="B35:B36"/>
    <mergeCell ref="C35:K35"/>
    <mergeCell ref="C36:G36"/>
    <mergeCell ref="A1:K1"/>
    <mergeCell ref="A2:B2"/>
    <mergeCell ref="C2:I2"/>
    <mergeCell ref="A3:A4"/>
    <mergeCell ref="B3:B4"/>
    <mergeCell ref="C3:K3"/>
    <mergeCell ref="C4:G4"/>
    <mergeCell ref="A9:A10"/>
    <mergeCell ref="B9:B10"/>
    <mergeCell ref="C9:K9"/>
    <mergeCell ref="C10:G10"/>
    <mergeCell ref="A11:A34"/>
    <mergeCell ref="A37:A48"/>
    <mergeCell ref="A50:A54"/>
    <mergeCell ref="B50:B51"/>
    <mergeCell ref="C50:G51"/>
    <mergeCell ref="H50:H51"/>
    <mergeCell ref="C62:H62"/>
    <mergeCell ref="K50:K51"/>
    <mergeCell ref="A56:A60"/>
    <mergeCell ref="B56:B57"/>
    <mergeCell ref="C56:G57"/>
    <mergeCell ref="H56:H57"/>
    <mergeCell ref="I56:I57"/>
    <mergeCell ref="K56:K57"/>
    <mergeCell ref="I50:I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47"/>
  <sheetViews>
    <sheetView topLeftCell="A51" zoomScaleNormal="100" workbookViewId="0">
      <selection activeCell="B78" sqref="B78"/>
    </sheetView>
  </sheetViews>
  <sheetFormatPr defaultRowHeight="13.2" x14ac:dyDescent="0.25"/>
  <cols>
    <col min="2" max="2" width="39.44140625" customWidth="1"/>
    <col min="3" max="3" width="11" customWidth="1"/>
    <col min="8" max="8" width="10.44140625" customWidth="1"/>
    <col min="9" max="9" width="16.44140625" customWidth="1"/>
    <col min="10" max="10" width="16.44140625" style="446" customWidth="1"/>
    <col min="11" max="11" width="12.44140625" style="58" customWidth="1"/>
    <col min="12" max="12" width="47.44140625" customWidth="1"/>
    <col min="13" max="13" width="29.44140625" style="102" customWidth="1"/>
    <col min="14" max="14" width="8.5546875" style="102" customWidth="1"/>
    <col min="15" max="21" width="8.5546875" style="102" hidden="1" customWidth="1"/>
    <col min="22" max="23" width="8.5546875" hidden="1" customWidth="1"/>
  </cols>
  <sheetData>
    <row r="1" spans="1:21" ht="21.6" thickBot="1" x14ac:dyDescent="0.3">
      <c r="A1" s="569" t="s">
        <v>43</v>
      </c>
      <c r="B1" s="569"/>
      <c r="C1" s="569"/>
      <c r="D1" s="569"/>
      <c r="E1" s="569"/>
      <c r="F1" s="569"/>
      <c r="G1" s="569"/>
      <c r="H1" s="569"/>
      <c r="I1" s="569"/>
      <c r="J1" s="569"/>
      <c r="K1" s="569"/>
      <c r="L1" s="569"/>
    </row>
    <row r="2" spans="1:21" ht="40.35" customHeight="1" thickBot="1" x14ac:dyDescent="0.3">
      <c r="A2" s="570" t="s">
        <v>44</v>
      </c>
      <c r="B2" s="570"/>
      <c r="C2" s="576" t="s">
        <v>93</v>
      </c>
      <c r="D2" s="577"/>
      <c r="E2" s="577"/>
      <c r="F2" s="577"/>
      <c r="G2" s="577"/>
      <c r="H2" s="577"/>
      <c r="I2" s="578"/>
      <c r="J2" s="424"/>
      <c r="K2" s="214" t="s">
        <v>94</v>
      </c>
      <c r="L2" s="214" t="s">
        <v>95</v>
      </c>
    </row>
    <row r="3" spans="1:21" ht="25.35" customHeight="1" thickBot="1" x14ac:dyDescent="0.3">
      <c r="A3" s="561" t="s">
        <v>1</v>
      </c>
      <c r="B3" s="549" t="s">
        <v>0</v>
      </c>
      <c r="C3" s="563" t="s">
        <v>56</v>
      </c>
      <c r="D3" s="564"/>
      <c r="E3" s="564"/>
      <c r="F3" s="564"/>
      <c r="G3" s="564"/>
      <c r="H3" s="564"/>
      <c r="I3" s="564"/>
      <c r="J3" s="564"/>
      <c r="K3" s="564"/>
      <c r="L3" s="565"/>
      <c r="P3" s="103"/>
      <c r="Q3" s="103"/>
      <c r="R3" s="103"/>
      <c r="S3" s="103"/>
      <c r="T3" s="103"/>
      <c r="U3" s="103"/>
    </row>
    <row r="4" spans="1:21" ht="25.5" customHeight="1" thickBot="1" x14ac:dyDescent="0.3">
      <c r="A4" s="562"/>
      <c r="B4" s="550"/>
      <c r="C4" s="566" t="s">
        <v>8</v>
      </c>
      <c r="D4" s="586"/>
      <c r="E4" s="586"/>
      <c r="F4" s="586"/>
      <c r="G4" s="587"/>
      <c r="H4" s="156" t="s">
        <v>2</v>
      </c>
      <c r="I4" s="12" t="s">
        <v>36</v>
      </c>
      <c r="J4" s="414" t="s">
        <v>17</v>
      </c>
      <c r="K4" s="408" t="s">
        <v>202</v>
      </c>
      <c r="L4" s="35" t="s">
        <v>9</v>
      </c>
    </row>
    <row r="5" spans="1:21" s="148" customFormat="1" ht="25.5" customHeight="1" x14ac:dyDescent="0.25">
      <c r="A5" s="213"/>
      <c r="B5" s="324" t="s">
        <v>14</v>
      </c>
      <c r="C5" s="325" t="s">
        <v>116</v>
      </c>
      <c r="D5" s="326" t="s">
        <v>117</v>
      </c>
      <c r="E5" s="327" t="s">
        <v>118</v>
      </c>
      <c r="F5" s="328" t="s">
        <v>119</v>
      </c>
      <c r="G5" s="328" t="s">
        <v>120</v>
      </c>
      <c r="H5" s="329"/>
      <c r="I5" s="330"/>
      <c r="J5" s="425"/>
      <c r="K5" s="331"/>
      <c r="L5" s="332"/>
      <c r="O5" s="252"/>
      <c r="P5" s="252"/>
      <c r="Q5" s="252"/>
      <c r="R5" s="252"/>
      <c r="S5" s="252"/>
      <c r="T5" s="253"/>
      <c r="U5" s="253"/>
    </row>
    <row r="6" spans="1:21" s="148" customFormat="1" x14ac:dyDescent="0.25">
      <c r="A6" s="213"/>
      <c r="B6" s="254" t="s">
        <v>121</v>
      </c>
      <c r="C6" s="255">
        <v>74.05</v>
      </c>
      <c r="D6" s="256">
        <v>0.55000000000000004</v>
      </c>
      <c r="E6" s="257">
        <v>52.2</v>
      </c>
      <c r="F6" s="258">
        <v>1</v>
      </c>
      <c r="G6" s="258"/>
      <c r="H6" s="248">
        <f>+C6*D6*E6*F6+G6</f>
        <v>2125.9755</v>
      </c>
      <c r="I6" s="249"/>
      <c r="J6" s="426"/>
      <c r="K6" s="250"/>
      <c r="L6" s="251" t="str">
        <f>(T6*100)&amp;U6&amp;""&amp;S6</f>
        <v>1.57% of total expenses of $136642</v>
      </c>
      <c r="M6" s="396"/>
      <c r="O6" s="252"/>
      <c r="P6" s="252"/>
      <c r="Q6" s="252"/>
      <c r="R6" s="252"/>
      <c r="S6" s="259">
        <v>136642</v>
      </c>
      <c r="T6" s="260">
        <f>ROUND(D6/35, 4)</f>
        <v>1.5699999999999999E-2</v>
      </c>
      <c r="U6" s="261" t="s">
        <v>122</v>
      </c>
    </row>
    <row r="7" spans="1:21" s="148" customFormat="1" x14ac:dyDescent="0.25">
      <c r="A7" s="213"/>
      <c r="B7" s="254" t="s">
        <v>123</v>
      </c>
      <c r="C7" s="262">
        <v>57.65</v>
      </c>
      <c r="D7" s="263">
        <v>0.55000000000000004</v>
      </c>
      <c r="E7" s="257">
        <v>52.2</v>
      </c>
      <c r="F7" s="258">
        <v>1</v>
      </c>
      <c r="G7" s="258"/>
      <c r="H7" s="248">
        <f t="shared" ref="H7:H16" si="0">+C7*D7*E7*F7+G7</f>
        <v>1655.1315000000002</v>
      </c>
      <c r="I7" s="265"/>
      <c r="J7" s="426"/>
      <c r="K7" s="250"/>
      <c r="L7" s="251" t="str">
        <f t="shared" ref="L7:L16" si="1">(T7*100)&amp;U7&amp;""&amp;S7</f>
        <v>1.57% of total expenses of $106380</v>
      </c>
      <c r="M7" s="396"/>
      <c r="O7" s="252"/>
      <c r="P7" s="252"/>
      <c r="Q7" s="252"/>
      <c r="R7" s="252"/>
      <c r="S7" s="259">
        <v>106380</v>
      </c>
      <c r="T7" s="260">
        <f t="shared" ref="T7:T16" si="2">ROUND(D7/35, 4)</f>
        <v>1.5699999999999999E-2</v>
      </c>
      <c r="U7" s="261" t="s">
        <v>122</v>
      </c>
    </row>
    <row r="8" spans="1:21" s="148" customFormat="1" x14ac:dyDescent="0.25">
      <c r="A8" s="213"/>
      <c r="B8" s="254" t="s">
        <v>124</v>
      </c>
      <c r="C8" s="262">
        <v>56.47</v>
      </c>
      <c r="D8" s="263">
        <v>0.55000000000000004</v>
      </c>
      <c r="E8" s="257">
        <v>52.2</v>
      </c>
      <c r="F8" s="258">
        <v>1</v>
      </c>
      <c r="G8" s="258"/>
      <c r="H8" s="248">
        <f t="shared" si="0"/>
        <v>1621.2537000000002</v>
      </c>
      <c r="I8" s="265"/>
      <c r="J8" s="426"/>
      <c r="K8" s="250"/>
      <c r="L8" s="251" t="str">
        <f t="shared" si="1"/>
        <v>1.57% of total expenses of $104202</v>
      </c>
      <c r="M8" s="396"/>
      <c r="O8" s="252"/>
      <c r="P8" s="252"/>
      <c r="Q8" s="252"/>
      <c r="R8" s="252"/>
      <c r="S8" s="259">
        <v>104202</v>
      </c>
      <c r="T8" s="260">
        <f t="shared" si="2"/>
        <v>1.5699999999999999E-2</v>
      </c>
      <c r="U8" s="261" t="s">
        <v>122</v>
      </c>
    </row>
    <row r="9" spans="1:21" s="148" customFormat="1" x14ac:dyDescent="0.25">
      <c r="A9" s="213"/>
      <c r="B9" s="254" t="s">
        <v>125</v>
      </c>
      <c r="C9" s="262">
        <v>36.020000000000003</v>
      </c>
      <c r="D9" s="263">
        <v>0.55000000000000004</v>
      </c>
      <c r="E9" s="257">
        <v>52.2</v>
      </c>
      <c r="F9" s="258">
        <v>1</v>
      </c>
      <c r="G9" s="258"/>
      <c r="H9" s="248">
        <f t="shared" si="0"/>
        <v>1034.1342000000002</v>
      </c>
      <c r="I9" s="265"/>
      <c r="J9" s="426"/>
      <c r="K9" s="250"/>
      <c r="L9" s="251" t="str">
        <f t="shared" si="1"/>
        <v>1.57% of total expenses of $66467</v>
      </c>
      <c r="M9" s="396"/>
      <c r="O9" s="252"/>
      <c r="P9" s="252"/>
      <c r="Q9" s="252"/>
      <c r="R9" s="252"/>
      <c r="S9" s="259">
        <v>66467</v>
      </c>
      <c r="T9" s="260">
        <f t="shared" si="2"/>
        <v>1.5699999999999999E-2</v>
      </c>
      <c r="U9" s="261" t="s">
        <v>122</v>
      </c>
    </row>
    <row r="10" spans="1:21" s="148" customFormat="1" x14ac:dyDescent="0.25">
      <c r="A10" s="213"/>
      <c r="B10" s="254" t="s">
        <v>126</v>
      </c>
      <c r="C10" s="262">
        <v>37.31</v>
      </c>
      <c r="D10" s="263">
        <v>0.55000000000000004</v>
      </c>
      <c r="E10" s="257">
        <v>52.2</v>
      </c>
      <c r="F10" s="258">
        <v>1</v>
      </c>
      <c r="G10" s="258"/>
      <c r="H10" s="248">
        <f t="shared" si="0"/>
        <v>1071.1701</v>
      </c>
      <c r="I10" s="265"/>
      <c r="J10" s="426"/>
      <c r="K10" s="250"/>
      <c r="L10" s="251" t="str">
        <f t="shared" si="1"/>
        <v>1.57% of total expenses of $68847</v>
      </c>
      <c r="M10" s="396"/>
      <c r="O10" s="252"/>
      <c r="P10" s="252"/>
      <c r="Q10" s="252"/>
      <c r="R10" s="252"/>
      <c r="S10" s="259">
        <v>68847</v>
      </c>
      <c r="T10" s="260">
        <f t="shared" si="2"/>
        <v>1.5699999999999999E-2</v>
      </c>
      <c r="U10" s="261" t="s">
        <v>122</v>
      </c>
    </row>
    <row r="11" spans="1:21" s="148" customFormat="1" x14ac:dyDescent="0.25">
      <c r="A11" s="213"/>
      <c r="B11" s="254" t="s">
        <v>127</v>
      </c>
      <c r="C11" s="262">
        <v>35.200000000000003</v>
      </c>
      <c r="D11" s="263">
        <v>0.55000000000000004</v>
      </c>
      <c r="E11" s="257">
        <v>52.2</v>
      </c>
      <c r="F11" s="258">
        <v>1</v>
      </c>
      <c r="G11" s="258"/>
      <c r="H11" s="248">
        <f t="shared" si="0"/>
        <v>1010.5920000000002</v>
      </c>
      <c r="I11" s="265"/>
      <c r="J11" s="426"/>
      <c r="K11" s="250"/>
      <c r="L11" s="251" t="str">
        <f t="shared" si="1"/>
        <v>1.57% of total expenses of $64945</v>
      </c>
      <c r="M11" s="396"/>
      <c r="O11" s="252"/>
      <c r="P11" s="252"/>
      <c r="Q11" s="252"/>
      <c r="R11" s="252"/>
      <c r="S11" s="259">
        <v>64945</v>
      </c>
      <c r="T11" s="260">
        <f t="shared" si="2"/>
        <v>1.5699999999999999E-2</v>
      </c>
      <c r="U11" s="261" t="s">
        <v>122</v>
      </c>
    </row>
    <row r="12" spans="1:21" s="148" customFormat="1" x14ac:dyDescent="0.25">
      <c r="A12" s="213"/>
      <c r="B12" s="254" t="s">
        <v>128</v>
      </c>
      <c r="C12" s="262">
        <v>34.880000000000003</v>
      </c>
      <c r="D12" s="263">
        <v>0.55000000000000004</v>
      </c>
      <c r="E12" s="257">
        <v>52.2</v>
      </c>
      <c r="F12" s="258">
        <v>1</v>
      </c>
      <c r="G12" s="258"/>
      <c r="H12" s="248">
        <f t="shared" si="0"/>
        <v>1001.4048000000003</v>
      </c>
      <c r="I12" s="265"/>
      <c r="J12" s="426"/>
      <c r="K12" s="250"/>
      <c r="L12" s="251" t="str">
        <f>(T12*100)&amp;U12&amp;""&amp;S12</f>
        <v>1.57% of total expenses of $64363</v>
      </c>
      <c r="M12" s="396"/>
      <c r="O12" s="252"/>
      <c r="P12" s="252"/>
      <c r="Q12" s="252"/>
      <c r="R12" s="252"/>
      <c r="S12" s="259">
        <v>64363</v>
      </c>
      <c r="T12" s="260">
        <f t="shared" si="2"/>
        <v>1.5699999999999999E-2</v>
      </c>
      <c r="U12" s="261" t="s">
        <v>122</v>
      </c>
    </row>
    <row r="13" spans="1:21" s="148" customFormat="1" x14ac:dyDescent="0.25">
      <c r="A13" s="213"/>
      <c r="B13" s="254" t="s">
        <v>129</v>
      </c>
      <c r="C13" s="262">
        <v>35.04</v>
      </c>
      <c r="D13" s="263">
        <v>0.55000000000000004</v>
      </c>
      <c r="E13" s="257">
        <v>52.2</v>
      </c>
      <c r="F13" s="258">
        <v>1</v>
      </c>
      <c r="G13" s="258"/>
      <c r="H13" s="248">
        <f t="shared" si="0"/>
        <v>1005.9984000000002</v>
      </c>
      <c r="I13" s="265"/>
      <c r="J13" s="426"/>
      <c r="K13" s="250"/>
      <c r="L13" s="251" t="str">
        <f t="shared" si="1"/>
        <v>1.57% of total expenses of $64658</v>
      </c>
      <c r="M13" s="396"/>
      <c r="O13" s="252"/>
      <c r="P13" s="252"/>
      <c r="Q13" s="252"/>
      <c r="R13" s="252"/>
      <c r="S13" s="259">
        <v>64658</v>
      </c>
      <c r="T13" s="260">
        <f t="shared" si="2"/>
        <v>1.5699999999999999E-2</v>
      </c>
      <c r="U13" s="261" t="s">
        <v>122</v>
      </c>
    </row>
    <row r="14" spans="1:21" s="148" customFormat="1" x14ac:dyDescent="0.25">
      <c r="A14" s="213"/>
      <c r="B14" s="254" t="s">
        <v>130</v>
      </c>
      <c r="C14" s="262">
        <v>28.56</v>
      </c>
      <c r="D14" s="263">
        <v>0.55000000000000004</v>
      </c>
      <c r="E14" s="257">
        <v>52.2</v>
      </c>
      <c r="F14" s="258">
        <v>1</v>
      </c>
      <c r="G14" s="258"/>
      <c r="H14" s="248">
        <f t="shared" si="0"/>
        <v>819.95760000000007</v>
      </c>
      <c r="I14" s="265"/>
      <c r="J14" s="426"/>
      <c r="K14" s="250"/>
      <c r="L14" s="251" t="str">
        <f t="shared" si="1"/>
        <v>1.57% of total expenses of $52701</v>
      </c>
      <c r="M14" s="396"/>
      <c r="O14" s="252"/>
      <c r="P14" s="252"/>
      <c r="Q14" s="252"/>
      <c r="R14" s="252"/>
      <c r="S14" s="259">
        <v>52701</v>
      </c>
      <c r="T14" s="260">
        <f t="shared" si="2"/>
        <v>1.5699999999999999E-2</v>
      </c>
      <c r="U14" s="261" t="s">
        <v>122</v>
      </c>
    </row>
    <row r="15" spans="1:21" s="148" customFormat="1" x14ac:dyDescent="0.25">
      <c r="A15" s="213"/>
      <c r="B15" s="254" t="s">
        <v>131</v>
      </c>
      <c r="C15" s="262">
        <v>46.62</v>
      </c>
      <c r="D15" s="263">
        <v>0.22</v>
      </c>
      <c r="E15" s="257">
        <v>52.2</v>
      </c>
      <c r="F15" s="258">
        <v>1</v>
      </c>
      <c r="G15" s="258"/>
      <c r="H15" s="248">
        <f t="shared" si="0"/>
        <v>535.38408000000004</v>
      </c>
      <c r="I15" s="265"/>
      <c r="J15" s="426"/>
      <c r="K15" s="250"/>
      <c r="L15" s="251" t="str">
        <f t="shared" si="1"/>
        <v>0.63% of total expenses of $86026</v>
      </c>
      <c r="M15" s="396"/>
      <c r="O15" s="252"/>
      <c r="P15" s="252"/>
      <c r="Q15" s="252"/>
      <c r="R15" s="252"/>
      <c r="S15" s="259">
        <v>86026</v>
      </c>
      <c r="T15" s="260">
        <f t="shared" si="2"/>
        <v>6.3E-3</v>
      </c>
      <c r="U15" s="261" t="s">
        <v>122</v>
      </c>
    </row>
    <row r="16" spans="1:21" s="148" customFormat="1" x14ac:dyDescent="0.25">
      <c r="A16" s="213"/>
      <c r="B16" s="254" t="s">
        <v>132</v>
      </c>
      <c r="C16" s="262">
        <v>62.15</v>
      </c>
      <c r="D16" s="263">
        <v>0.72</v>
      </c>
      <c r="E16" s="257">
        <v>52.2</v>
      </c>
      <c r="F16" s="258">
        <v>1</v>
      </c>
      <c r="G16" s="258"/>
      <c r="H16" s="248">
        <f t="shared" si="0"/>
        <v>2335.8456000000001</v>
      </c>
      <c r="I16" s="265"/>
      <c r="J16" s="426"/>
      <c r="K16" s="250"/>
      <c r="L16" s="251" t="str">
        <f t="shared" si="1"/>
        <v>2.06% of total expenses of $113548</v>
      </c>
      <c r="M16" s="396"/>
      <c r="O16" s="252"/>
      <c r="P16" s="252"/>
      <c r="Q16" s="252"/>
      <c r="R16" s="252"/>
      <c r="S16" s="259">
        <f t="shared" ref="S16" si="3">ROUND(C16*35*E16, 0)</f>
        <v>113548</v>
      </c>
      <c r="T16" s="260">
        <f t="shared" si="2"/>
        <v>2.06E-2</v>
      </c>
      <c r="U16" s="261" t="s">
        <v>122</v>
      </c>
    </row>
    <row r="17" spans="1:21" s="148" customFormat="1" ht="26.4" x14ac:dyDescent="0.25">
      <c r="A17" s="213"/>
      <c r="B17" s="254" t="s">
        <v>15</v>
      </c>
      <c r="C17" s="267">
        <v>0.18360000000000001</v>
      </c>
      <c r="D17" s="268"/>
      <c r="E17" s="264"/>
      <c r="F17" s="269"/>
      <c r="G17" s="269"/>
      <c r="H17" s="270">
        <f>SUM(H6:H16)*C17</f>
        <v>2610.2131973280007</v>
      </c>
      <c r="I17" s="265"/>
      <c r="J17" s="427"/>
      <c r="K17" s="266"/>
      <c r="L17" s="251" t="str">
        <f>CONCATENATE("Avg.", ROUND(C17*100, 2), "% of wage, including MERC, Retirement Plan and Group Benefit. ")</f>
        <v xml:space="preserve">Avg.18.36% of wage, including MERC, Retirement Plan and Group Benefit. </v>
      </c>
      <c r="O17" s="252"/>
      <c r="P17" s="252"/>
      <c r="Q17" s="252"/>
      <c r="R17" s="252"/>
      <c r="S17" s="259">
        <f t="shared" ref="S17" si="4">ROUND(C17*E17*52.2, 0)</f>
        <v>0</v>
      </c>
      <c r="T17" s="253"/>
      <c r="U17" s="253"/>
    </row>
    <row r="18" spans="1:21" s="148" customFormat="1" x14ac:dyDescent="0.25">
      <c r="A18" s="213"/>
      <c r="B18" s="271" t="s">
        <v>133</v>
      </c>
      <c r="C18" s="272"/>
      <c r="D18" s="273"/>
      <c r="E18" s="274"/>
      <c r="F18" s="275"/>
      <c r="G18" s="275"/>
      <c r="H18" s="276"/>
      <c r="I18" s="277">
        <f>SUM(H6:H17)</f>
        <v>16827.060677328001</v>
      </c>
      <c r="J18" s="428"/>
      <c r="K18" s="405"/>
      <c r="L18" s="278"/>
      <c r="O18" s="252"/>
      <c r="P18" s="252"/>
      <c r="Q18" s="252"/>
      <c r="R18" s="252"/>
      <c r="S18" s="252"/>
      <c r="T18" s="253"/>
      <c r="U18" s="253"/>
    </row>
    <row r="19" spans="1:21" s="148" customFormat="1" x14ac:dyDescent="0.25">
      <c r="A19" s="213"/>
      <c r="B19" s="254"/>
      <c r="C19" s="262"/>
      <c r="D19" s="263"/>
      <c r="E19" s="264"/>
      <c r="F19" s="258"/>
      <c r="G19" s="258"/>
      <c r="H19" s="248"/>
      <c r="I19" s="265"/>
      <c r="J19" s="427"/>
      <c r="K19" s="266"/>
      <c r="L19" s="251"/>
      <c r="O19" s="279"/>
      <c r="P19" s="279"/>
      <c r="Q19" s="279"/>
      <c r="R19" s="279"/>
      <c r="S19" s="279"/>
      <c r="T19" s="280"/>
      <c r="U19" s="280"/>
    </row>
    <row r="20" spans="1:21" s="148" customFormat="1" x14ac:dyDescent="0.25">
      <c r="A20" s="213"/>
      <c r="B20" s="243" t="s">
        <v>134</v>
      </c>
      <c r="C20" s="262"/>
      <c r="D20" s="268"/>
      <c r="E20" s="264"/>
      <c r="F20" s="269"/>
      <c r="G20" s="269"/>
      <c r="H20" s="281"/>
      <c r="I20" s="265"/>
      <c r="J20" s="427"/>
      <c r="K20" s="266"/>
      <c r="L20" s="251"/>
      <c r="O20" s="252"/>
      <c r="P20" s="252"/>
      <c r="Q20" s="252"/>
      <c r="R20" s="252"/>
      <c r="S20" s="252"/>
      <c r="T20" s="253"/>
      <c r="U20" s="253"/>
    </row>
    <row r="21" spans="1:21" s="148" customFormat="1" x14ac:dyDescent="0.25">
      <c r="A21" s="213"/>
      <c r="B21" s="254" t="s">
        <v>135</v>
      </c>
      <c r="C21" s="262"/>
      <c r="D21" s="268"/>
      <c r="E21" s="264"/>
      <c r="F21" s="269"/>
      <c r="G21" s="269"/>
      <c r="H21" s="270">
        <f>+S21*T21</f>
        <v>154.89619999999999</v>
      </c>
      <c r="I21" s="265"/>
      <c r="J21" s="427"/>
      <c r="K21" s="266"/>
      <c r="L21" s="251" t="str">
        <f>T21*100&amp;U$21&amp;""&amp;S21</f>
        <v>1.57% of total expenses of $9866</v>
      </c>
      <c r="M21" s="396"/>
      <c r="O21" s="252"/>
      <c r="P21" s="252"/>
      <c r="Q21" s="252"/>
      <c r="R21" s="148">
        <v>9866</v>
      </c>
      <c r="S21" s="102">
        <f>ROUND(R21,0)</f>
        <v>9866</v>
      </c>
      <c r="T21" s="282">
        <f>+T6</f>
        <v>1.5699999999999999E-2</v>
      </c>
      <c r="U21" s="253" t="str">
        <f>+U16</f>
        <v>% of total expenses of $</v>
      </c>
    </row>
    <row r="22" spans="1:21" s="148" customFormat="1" x14ac:dyDescent="0.25">
      <c r="A22" s="213"/>
      <c r="B22" s="254" t="s">
        <v>136</v>
      </c>
      <c r="C22" s="262"/>
      <c r="D22" s="268"/>
      <c r="E22" s="264"/>
      <c r="F22" s="269"/>
      <c r="G22" s="269"/>
      <c r="H22" s="270">
        <f t="shared" ref="H22:H38" si="5">+S22*T22</f>
        <v>1321.3905</v>
      </c>
      <c r="I22" s="265"/>
      <c r="J22" s="427"/>
      <c r="K22" s="266"/>
      <c r="L22" s="251" t="str">
        <f t="shared" ref="L22:L37" si="6">T22*100&amp;U$21&amp;""&amp;S22</f>
        <v>1.57% of total expenses of $84165</v>
      </c>
      <c r="O22" s="252"/>
      <c r="P22" s="252"/>
      <c r="Q22" s="252"/>
      <c r="R22" s="148">
        <v>84165</v>
      </c>
      <c r="S22" s="102">
        <f t="shared" ref="S22:S38" si="7">ROUND(R22,0)</f>
        <v>84165</v>
      </c>
      <c r="T22" s="282">
        <f>+T21</f>
        <v>1.5699999999999999E-2</v>
      </c>
      <c r="U22" s="282" t="str">
        <f>+U21</f>
        <v>% of total expenses of $</v>
      </c>
    </row>
    <row r="23" spans="1:21" s="148" customFormat="1" x14ac:dyDescent="0.25">
      <c r="A23" s="213"/>
      <c r="B23" s="254" t="s">
        <v>137</v>
      </c>
      <c r="C23" s="262"/>
      <c r="D23" s="268"/>
      <c r="E23" s="264"/>
      <c r="F23" s="269"/>
      <c r="G23" s="269"/>
      <c r="H23" s="270">
        <f t="shared" si="5"/>
        <v>104.35789999999999</v>
      </c>
      <c r="I23" s="265"/>
      <c r="J23" s="427"/>
      <c r="K23" s="266"/>
      <c r="L23" s="251" t="str">
        <f t="shared" si="6"/>
        <v>1.57% of total expenses of $6647</v>
      </c>
      <c r="O23" s="252"/>
      <c r="P23" s="252"/>
      <c r="Q23" s="252"/>
      <c r="R23" s="148">
        <v>6647</v>
      </c>
      <c r="S23" s="102">
        <f t="shared" si="7"/>
        <v>6647</v>
      </c>
      <c r="T23" s="282">
        <f t="shared" ref="T23:U38" si="8">+T22</f>
        <v>1.5699999999999999E-2</v>
      </c>
      <c r="U23" s="282" t="str">
        <f t="shared" si="8"/>
        <v>% of total expenses of $</v>
      </c>
    </row>
    <row r="24" spans="1:21" s="148" customFormat="1" x14ac:dyDescent="0.25">
      <c r="A24" s="213"/>
      <c r="B24" s="254" t="s">
        <v>138</v>
      </c>
      <c r="C24" s="262"/>
      <c r="D24" s="268"/>
      <c r="E24" s="264"/>
      <c r="F24" s="269"/>
      <c r="G24" s="269"/>
      <c r="H24" s="270">
        <f t="shared" si="5"/>
        <v>124.64229999999999</v>
      </c>
      <c r="I24" s="265"/>
      <c r="J24" s="427"/>
      <c r="K24" s="266"/>
      <c r="L24" s="251" t="str">
        <f t="shared" si="6"/>
        <v>1.57% of total expenses of $7939</v>
      </c>
      <c r="O24" s="252"/>
      <c r="P24" s="252"/>
      <c r="Q24" s="252"/>
      <c r="R24" s="148">
        <v>7939</v>
      </c>
      <c r="S24" s="102">
        <f t="shared" si="7"/>
        <v>7939</v>
      </c>
      <c r="T24" s="282">
        <f t="shared" si="8"/>
        <v>1.5699999999999999E-2</v>
      </c>
      <c r="U24" s="282" t="str">
        <f t="shared" si="8"/>
        <v>% of total expenses of $</v>
      </c>
    </row>
    <row r="25" spans="1:21" s="148" customFormat="1" x14ac:dyDescent="0.25">
      <c r="A25" s="213"/>
      <c r="B25" s="254" t="s">
        <v>139</v>
      </c>
      <c r="C25" s="262"/>
      <c r="D25" s="268"/>
      <c r="E25" s="264"/>
      <c r="F25" s="269"/>
      <c r="G25" s="269"/>
      <c r="H25" s="270">
        <f t="shared" si="5"/>
        <v>130.52979999999999</v>
      </c>
      <c r="I25" s="265"/>
      <c r="J25" s="427"/>
      <c r="K25" s="266"/>
      <c r="L25" s="251" t="str">
        <f t="shared" si="6"/>
        <v>1.57% of total expenses of $8314</v>
      </c>
      <c r="O25" s="252"/>
      <c r="P25" s="252"/>
      <c r="Q25" s="252"/>
      <c r="R25" s="148">
        <v>8314</v>
      </c>
      <c r="S25" s="102">
        <f t="shared" si="7"/>
        <v>8314</v>
      </c>
      <c r="T25" s="282">
        <f t="shared" si="8"/>
        <v>1.5699999999999999E-2</v>
      </c>
      <c r="U25" s="282" t="str">
        <f t="shared" si="8"/>
        <v>% of total expenses of $</v>
      </c>
    </row>
    <row r="26" spans="1:21" s="148" customFormat="1" x14ac:dyDescent="0.25">
      <c r="A26" s="213"/>
      <c r="B26" s="254" t="s">
        <v>140</v>
      </c>
      <c r="C26" s="262"/>
      <c r="D26" s="268"/>
      <c r="E26" s="264"/>
      <c r="F26" s="269"/>
      <c r="G26" s="269"/>
      <c r="H26" s="270">
        <f t="shared" si="5"/>
        <v>40.191999999999993</v>
      </c>
      <c r="I26" s="265"/>
      <c r="J26" s="427"/>
      <c r="K26" s="266"/>
      <c r="L26" s="251" t="str">
        <f t="shared" si="6"/>
        <v>1.57% of total expenses of $2560</v>
      </c>
      <c r="O26" s="252"/>
      <c r="P26" s="252"/>
      <c r="Q26" s="252"/>
      <c r="R26" s="148">
        <v>2560</v>
      </c>
      <c r="S26" s="102">
        <f t="shared" si="7"/>
        <v>2560</v>
      </c>
      <c r="T26" s="282">
        <f t="shared" si="8"/>
        <v>1.5699999999999999E-2</v>
      </c>
      <c r="U26" s="282" t="str">
        <f t="shared" si="8"/>
        <v>% of total expenses of $</v>
      </c>
    </row>
    <row r="27" spans="1:21" s="148" customFormat="1" x14ac:dyDescent="0.25">
      <c r="A27" s="213"/>
      <c r="B27" s="254" t="s">
        <v>141</v>
      </c>
      <c r="C27" s="262"/>
      <c r="D27" s="268"/>
      <c r="E27" s="264"/>
      <c r="F27" s="269"/>
      <c r="G27" s="269"/>
      <c r="H27" s="270">
        <f t="shared" si="5"/>
        <v>117.59299999999999</v>
      </c>
      <c r="I27" s="265"/>
      <c r="J27" s="427"/>
      <c r="K27" s="266"/>
      <c r="L27" s="251" t="str">
        <f t="shared" si="6"/>
        <v>1.57% of total expenses of $7490</v>
      </c>
      <c r="O27" s="252"/>
      <c r="P27" s="252"/>
      <c r="Q27" s="252"/>
      <c r="R27" s="148">
        <v>7490</v>
      </c>
      <c r="S27" s="102">
        <f t="shared" si="7"/>
        <v>7490</v>
      </c>
      <c r="T27" s="282">
        <f t="shared" si="8"/>
        <v>1.5699999999999999E-2</v>
      </c>
      <c r="U27" s="282" t="str">
        <f t="shared" si="8"/>
        <v>% of total expenses of $</v>
      </c>
    </row>
    <row r="28" spans="1:21" s="148" customFormat="1" x14ac:dyDescent="0.25">
      <c r="A28" s="213"/>
      <c r="B28" s="254" t="s">
        <v>142</v>
      </c>
      <c r="C28" s="262"/>
      <c r="D28" s="268"/>
      <c r="E28" s="264"/>
      <c r="F28" s="269"/>
      <c r="G28" s="269"/>
      <c r="H28" s="270">
        <f t="shared" si="5"/>
        <v>314</v>
      </c>
      <c r="I28" s="265"/>
      <c r="J28" s="427"/>
      <c r="K28" s="266"/>
      <c r="L28" s="251" t="str">
        <f t="shared" si="6"/>
        <v>1.57% of total expenses of $20000</v>
      </c>
      <c r="O28" s="252"/>
      <c r="P28" s="252"/>
      <c r="Q28" s="252"/>
      <c r="R28" s="148">
        <v>20000</v>
      </c>
      <c r="S28" s="102">
        <f t="shared" si="7"/>
        <v>20000</v>
      </c>
      <c r="T28" s="282">
        <f t="shared" si="8"/>
        <v>1.5699999999999999E-2</v>
      </c>
      <c r="U28" s="282" t="str">
        <f t="shared" si="8"/>
        <v>% of total expenses of $</v>
      </c>
    </row>
    <row r="29" spans="1:21" s="148" customFormat="1" x14ac:dyDescent="0.25">
      <c r="A29" s="213"/>
      <c r="B29" s="254" t="s">
        <v>143</v>
      </c>
      <c r="C29" s="262"/>
      <c r="D29" s="268"/>
      <c r="E29" s="264"/>
      <c r="F29" s="269"/>
      <c r="G29" s="269"/>
      <c r="H29" s="270">
        <f t="shared" si="5"/>
        <v>1114.6999999999998</v>
      </c>
      <c r="I29" s="265"/>
      <c r="J29" s="427"/>
      <c r="K29" s="266"/>
      <c r="L29" s="251" t="str">
        <f t="shared" si="6"/>
        <v>1.57% of total expenses of $71000</v>
      </c>
      <c r="O29" s="252"/>
      <c r="P29" s="252"/>
      <c r="Q29" s="252"/>
      <c r="R29" s="148">
        <v>71000</v>
      </c>
      <c r="S29" s="102">
        <f t="shared" si="7"/>
        <v>71000</v>
      </c>
      <c r="T29" s="282">
        <f t="shared" si="8"/>
        <v>1.5699999999999999E-2</v>
      </c>
      <c r="U29" s="282" t="str">
        <f t="shared" si="8"/>
        <v>% of total expenses of $</v>
      </c>
    </row>
    <row r="30" spans="1:21" s="148" customFormat="1" x14ac:dyDescent="0.25">
      <c r="A30" s="213"/>
      <c r="B30" s="254" t="s">
        <v>144</v>
      </c>
      <c r="C30" s="262"/>
      <c r="D30" s="268"/>
      <c r="E30" s="264"/>
      <c r="F30" s="269"/>
      <c r="G30" s="269"/>
      <c r="H30" s="270">
        <f t="shared" si="5"/>
        <v>235.49999999999997</v>
      </c>
      <c r="I30" s="265"/>
      <c r="J30" s="427"/>
      <c r="K30" s="266"/>
      <c r="L30" s="251" t="str">
        <f t="shared" si="6"/>
        <v>1.57% of total expenses of $15000</v>
      </c>
      <c r="O30" s="252"/>
      <c r="P30" s="252"/>
      <c r="Q30" s="252"/>
      <c r="R30" s="148">
        <v>15000</v>
      </c>
      <c r="S30" s="102">
        <f t="shared" si="7"/>
        <v>15000</v>
      </c>
      <c r="T30" s="282">
        <f t="shared" si="8"/>
        <v>1.5699999999999999E-2</v>
      </c>
      <c r="U30" s="282" t="str">
        <f t="shared" si="8"/>
        <v>% of total expenses of $</v>
      </c>
    </row>
    <row r="31" spans="1:21" s="148" customFormat="1" x14ac:dyDescent="0.25">
      <c r="A31" s="213"/>
      <c r="B31" s="254" t="s">
        <v>145</v>
      </c>
      <c r="C31" s="262"/>
      <c r="D31" s="268"/>
      <c r="E31" s="264"/>
      <c r="F31" s="269"/>
      <c r="G31" s="269"/>
      <c r="H31" s="270">
        <f t="shared" si="5"/>
        <v>153.07499999999999</v>
      </c>
      <c r="I31" s="265"/>
      <c r="J31" s="427"/>
      <c r="K31" s="266"/>
      <c r="L31" s="251" t="str">
        <f t="shared" si="6"/>
        <v>1.57% of total expenses of $9750</v>
      </c>
      <c r="O31" s="252"/>
      <c r="P31" s="252"/>
      <c r="Q31" s="252"/>
      <c r="R31" s="148">
        <v>9750</v>
      </c>
      <c r="S31" s="102">
        <f t="shared" si="7"/>
        <v>9750</v>
      </c>
      <c r="T31" s="282">
        <f t="shared" si="8"/>
        <v>1.5699999999999999E-2</v>
      </c>
      <c r="U31" s="282" t="str">
        <f t="shared" si="8"/>
        <v>% of total expenses of $</v>
      </c>
    </row>
    <row r="32" spans="1:21" s="148" customFormat="1" x14ac:dyDescent="0.25">
      <c r="A32" s="213"/>
      <c r="B32" s="254" t="s">
        <v>146</v>
      </c>
      <c r="C32" s="262"/>
      <c r="D32" s="268"/>
      <c r="E32" s="264"/>
      <c r="F32" s="269"/>
      <c r="G32" s="269"/>
      <c r="H32" s="270">
        <f t="shared" si="5"/>
        <v>102.05</v>
      </c>
      <c r="I32" s="265"/>
      <c r="J32" s="427"/>
      <c r="K32" s="266"/>
      <c r="L32" s="251" t="str">
        <f t="shared" si="6"/>
        <v>1.57% of total expenses of $6500</v>
      </c>
      <c r="O32" s="252"/>
      <c r="P32" s="252"/>
      <c r="Q32" s="252"/>
      <c r="R32" s="148">
        <v>6500</v>
      </c>
      <c r="S32" s="102">
        <f t="shared" si="7"/>
        <v>6500</v>
      </c>
      <c r="T32" s="282">
        <f t="shared" si="8"/>
        <v>1.5699999999999999E-2</v>
      </c>
      <c r="U32" s="282" t="str">
        <f t="shared" si="8"/>
        <v>% of total expenses of $</v>
      </c>
    </row>
    <row r="33" spans="1:21" s="148" customFormat="1" x14ac:dyDescent="0.25">
      <c r="A33" s="213"/>
      <c r="B33" s="254" t="s">
        <v>147</v>
      </c>
      <c r="C33" s="262"/>
      <c r="D33" s="268"/>
      <c r="E33" s="264"/>
      <c r="F33" s="269"/>
      <c r="G33" s="269"/>
      <c r="H33" s="270">
        <f t="shared" si="5"/>
        <v>70.649999999999991</v>
      </c>
      <c r="I33" s="265"/>
      <c r="J33" s="427"/>
      <c r="K33" s="266"/>
      <c r="L33" s="251" t="str">
        <f t="shared" si="6"/>
        <v>1.57% of total expenses of $4500</v>
      </c>
      <c r="O33" s="252"/>
      <c r="P33" s="252"/>
      <c r="Q33" s="252"/>
      <c r="R33" s="148">
        <v>4500</v>
      </c>
      <c r="S33" s="102">
        <f t="shared" si="7"/>
        <v>4500</v>
      </c>
      <c r="T33" s="282">
        <f t="shared" si="8"/>
        <v>1.5699999999999999E-2</v>
      </c>
      <c r="U33" s="282" t="str">
        <f t="shared" si="8"/>
        <v>% of total expenses of $</v>
      </c>
    </row>
    <row r="34" spans="1:21" s="148" customFormat="1" x14ac:dyDescent="0.25">
      <c r="A34" s="213"/>
      <c r="B34" s="254" t="s">
        <v>148</v>
      </c>
      <c r="C34" s="262"/>
      <c r="D34" s="268"/>
      <c r="E34" s="264"/>
      <c r="F34" s="269"/>
      <c r="G34" s="269"/>
      <c r="H34" s="270">
        <f t="shared" si="5"/>
        <v>24.523399999999999</v>
      </c>
      <c r="I34" s="265"/>
      <c r="J34" s="427"/>
      <c r="K34" s="266"/>
      <c r="L34" s="251" t="str">
        <f t="shared" si="6"/>
        <v>1.57% of total expenses of $1562</v>
      </c>
      <c r="O34" s="252"/>
      <c r="P34" s="252"/>
      <c r="Q34" s="252"/>
      <c r="R34" s="148">
        <v>1562</v>
      </c>
      <c r="S34" s="102">
        <f t="shared" si="7"/>
        <v>1562</v>
      </c>
      <c r="T34" s="282">
        <f t="shared" si="8"/>
        <v>1.5699999999999999E-2</v>
      </c>
      <c r="U34" s="282" t="str">
        <f t="shared" si="8"/>
        <v>% of total expenses of $</v>
      </c>
    </row>
    <row r="35" spans="1:21" s="148" customFormat="1" x14ac:dyDescent="0.25">
      <c r="A35" s="213"/>
      <c r="B35" s="254" t="s">
        <v>149</v>
      </c>
      <c r="C35" s="262"/>
      <c r="D35" s="268"/>
      <c r="E35" s="264"/>
      <c r="F35" s="269"/>
      <c r="G35" s="269"/>
      <c r="H35" s="270">
        <f t="shared" si="5"/>
        <v>292.49099999999999</v>
      </c>
      <c r="I35" s="265"/>
      <c r="J35" s="427"/>
      <c r="K35" s="266"/>
      <c r="L35" s="251" t="str">
        <f t="shared" si="6"/>
        <v>1.57% of total expenses of $18630</v>
      </c>
      <c r="O35" s="252"/>
      <c r="P35" s="252"/>
      <c r="Q35" s="252"/>
      <c r="R35" s="148">
        <v>18630</v>
      </c>
      <c r="S35" s="102">
        <f t="shared" si="7"/>
        <v>18630</v>
      </c>
      <c r="T35" s="282">
        <f t="shared" si="8"/>
        <v>1.5699999999999999E-2</v>
      </c>
      <c r="U35" s="282" t="str">
        <f t="shared" si="8"/>
        <v>% of total expenses of $</v>
      </c>
    </row>
    <row r="36" spans="1:21" s="148" customFormat="1" x14ac:dyDescent="0.25">
      <c r="A36" s="213"/>
      <c r="B36" s="254" t="s">
        <v>150</v>
      </c>
      <c r="C36" s="262"/>
      <c r="D36" s="268"/>
      <c r="E36" s="264"/>
      <c r="F36" s="269"/>
      <c r="G36" s="269"/>
      <c r="H36" s="270">
        <f t="shared" si="5"/>
        <v>49.847499999999997</v>
      </c>
      <c r="I36" s="265"/>
      <c r="J36" s="427"/>
      <c r="K36" s="266"/>
      <c r="L36" s="251" t="str">
        <f t="shared" si="6"/>
        <v>1.57% of total expenses of $3175</v>
      </c>
      <c r="O36" s="252"/>
      <c r="P36" s="252"/>
      <c r="Q36" s="252"/>
      <c r="R36" s="148">
        <v>3175</v>
      </c>
      <c r="S36" s="102">
        <f t="shared" si="7"/>
        <v>3175</v>
      </c>
      <c r="T36" s="282">
        <f t="shared" si="8"/>
        <v>1.5699999999999999E-2</v>
      </c>
      <c r="U36" s="282" t="str">
        <f t="shared" si="8"/>
        <v>% of total expenses of $</v>
      </c>
    </row>
    <row r="37" spans="1:21" s="148" customFormat="1" x14ac:dyDescent="0.25">
      <c r="A37" s="213"/>
      <c r="B37" s="254" t="s">
        <v>151</v>
      </c>
      <c r="C37" s="262"/>
      <c r="D37" s="268"/>
      <c r="E37" s="264"/>
      <c r="F37" s="269"/>
      <c r="G37" s="269"/>
      <c r="H37" s="270">
        <f t="shared" si="5"/>
        <v>786.25599999999997</v>
      </c>
      <c r="I37" s="265"/>
      <c r="J37" s="427"/>
      <c r="K37" s="266"/>
      <c r="L37" s="251" t="str">
        <f t="shared" si="6"/>
        <v>1.57% of total expenses of $50080</v>
      </c>
      <c r="O37" s="252"/>
      <c r="P37" s="252"/>
      <c r="Q37" s="252"/>
      <c r="R37" s="148">
        <v>50080.1</v>
      </c>
      <c r="S37" s="102">
        <f t="shared" si="7"/>
        <v>50080</v>
      </c>
      <c r="T37" s="282">
        <f t="shared" si="8"/>
        <v>1.5699999999999999E-2</v>
      </c>
      <c r="U37" s="282" t="str">
        <f t="shared" si="8"/>
        <v>% of total expenses of $</v>
      </c>
    </row>
    <row r="38" spans="1:21" s="148" customFormat="1" x14ac:dyDescent="0.25">
      <c r="A38" s="213"/>
      <c r="B38" s="254" t="s">
        <v>152</v>
      </c>
      <c r="C38" s="262"/>
      <c r="D38" s="268"/>
      <c r="E38" s="264"/>
      <c r="F38" s="269"/>
      <c r="G38" s="269"/>
      <c r="H38" s="270">
        <f t="shared" si="5"/>
        <v>109.46039999999999</v>
      </c>
      <c r="I38" s="265"/>
      <c r="J38" s="427"/>
      <c r="K38" s="266"/>
      <c r="L38" s="251" t="s">
        <v>66</v>
      </c>
      <c r="O38" s="252"/>
      <c r="P38" s="252"/>
      <c r="Q38" s="252"/>
      <c r="R38" s="148">
        <v>6972</v>
      </c>
      <c r="S38" s="102">
        <f t="shared" si="7"/>
        <v>6972</v>
      </c>
      <c r="T38" s="282">
        <f t="shared" si="8"/>
        <v>1.5699999999999999E-2</v>
      </c>
      <c r="U38" s="282" t="str">
        <f t="shared" si="8"/>
        <v>% of total expenses of $</v>
      </c>
    </row>
    <row r="39" spans="1:21" s="148" customFormat="1" x14ac:dyDescent="0.25">
      <c r="A39" s="213"/>
      <c r="B39" s="271" t="s">
        <v>153</v>
      </c>
      <c r="C39" s="283"/>
      <c r="D39" s="284"/>
      <c r="E39" s="285"/>
      <c r="F39" s="286"/>
      <c r="G39" s="286"/>
      <c r="H39" s="287"/>
      <c r="I39" s="288">
        <f>SUM(H21:H38)</f>
        <v>5246.1549999999997</v>
      </c>
      <c r="J39" s="429"/>
      <c r="K39" s="405"/>
      <c r="L39" s="289"/>
      <c r="O39" s="252"/>
      <c r="P39" s="252"/>
      <c r="Q39" s="252"/>
      <c r="R39" s="252"/>
      <c r="S39" s="252"/>
      <c r="T39" s="253"/>
      <c r="U39" s="253"/>
    </row>
    <row r="40" spans="1:21" s="148" customFormat="1" x14ac:dyDescent="0.25">
      <c r="A40" s="213"/>
      <c r="B40" s="254"/>
      <c r="C40" s="262"/>
      <c r="D40" s="268"/>
      <c r="E40" s="264"/>
      <c r="F40" s="269"/>
      <c r="G40" s="269"/>
      <c r="H40" s="270"/>
      <c r="I40" s="265"/>
      <c r="J40" s="427"/>
      <c r="K40" s="266"/>
      <c r="L40" s="251"/>
      <c r="O40" s="279"/>
      <c r="P40" s="279"/>
      <c r="Q40" s="279"/>
      <c r="R40" s="279"/>
      <c r="S40" s="279"/>
      <c r="T40" s="280"/>
      <c r="U40" s="280"/>
    </row>
    <row r="41" spans="1:21" s="148" customFormat="1" x14ac:dyDescent="0.25">
      <c r="A41" s="213"/>
      <c r="B41" s="243" t="s">
        <v>159</v>
      </c>
      <c r="C41" s="262"/>
      <c r="D41" s="290"/>
      <c r="E41" s="264"/>
      <c r="F41" s="269"/>
      <c r="G41" s="269"/>
      <c r="H41" s="270"/>
      <c r="I41" s="249"/>
      <c r="J41" s="426"/>
      <c r="K41" s="250"/>
      <c r="L41" s="251"/>
      <c r="O41" s="252"/>
      <c r="P41" s="252"/>
      <c r="Q41" s="252"/>
      <c r="R41" s="252"/>
      <c r="S41" s="252"/>
      <c r="T41" s="253"/>
      <c r="U41" s="253"/>
    </row>
    <row r="42" spans="1:21" ht="14.4" x14ac:dyDescent="0.25">
      <c r="A42" s="213"/>
      <c r="B42" s="344"/>
      <c r="C42" s="215"/>
      <c r="D42" s="216"/>
      <c r="E42" s="264"/>
      <c r="F42" s="269"/>
      <c r="G42" s="269"/>
      <c r="H42" s="217"/>
      <c r="I42" s="249"/>
      <c r="J42" s="426"/>
      <c r="K42" s="219"/>
      <c r="L42" s="334"/>
      <c r="M42" s="397"/>
      <c r="N42" s="104"/>
      <c r="O42" s="104"/>
      <c r="P42" s="104"/>
      <c r="Q42" s="104"/>
      <c r="R42" s="104"/>
      <c r="S42" s="104"/>
      <c r="T42" s="104"/>
      <c r="U42"/>
    </row>
    <row r="43" spans="1:21" ht="23.85" customHeight="1" x14ac:dyDescent="0.25">
      <c r="A43" s="213"/>
      <c r="B43" s="254" t="s">
        <v>96</v>
      </c>
      <c r="C43" s="262">
        <v>55</v>
      </c>
      <c r="D43" s="268">
        <v>12</v>
      </c>
      <c r="E43" s="268"/>
      <c r="F43" s="268"/>
      <c r="G43" s="264"/>
      <c r="H43" s="281">
        <f>C43*D43</f>
        <v>660</v>
      </c>
      <c r="I43" s="265"/>
      <c r="J43" s="427"/>
      <c r="K43" s="266"/>
      <c r="L43" s="251"/>
      <c r="N43" s="104"/>
      <c r="O43" s="104"/>
      <c r="P43" s="104"/>
      <c r="Q43" s="104"/>
      <c r="R43" s="104"/>
      <c r="S43" s="104"/>
      <c r="T43" s="104"/>
      <c r="U43"/>
    </row>
    <row r="44" spans="1:21" x14ac:dyDescent="0.25">
      <c r="A44" s="213"/>
      <c r="B44" s="321" t="s">
        <v>97</v>
      </c>
      <c r="C44" s="320">
        <v>110</v>
      </c>
      <c r="D44" s="222"/>
      <c r="E44" s="222"/>
      <c r="F44" s="222"/>
      <c r="G44" s="223"/>
      <c r="H44" s="224">
        <f>C44</f>
        <v>110</v>
      </c>
      <c r="I44" s="218"/>
      <c r="J44" s="430"/>
      <c r="K44" s="219"/>
      <c r="L44" s="251"/>
      <c r="N44" s="104"/>
      <c r="O44" s="104"/>
      <c r="P44" s="104"/>
      <c r="Q44" s="104"/>
      <c r="R44" s="104"/>
      <c r="S44" s="104"/>
      <c r="T44" s="104"/>
      <c r="U44"/>
    </row>
    <row r="45" spans="1:21" ht="20.100000000000001" customHeight="1" x14ac:dyDescent="0.25">
      <c r="A45" s="213"/>
      <c r="B45" s="254" t="s">
        <v>98</v>
      </c>
      <c r="C45" s="320"/>
      <c r="D45" s="222"/>
      <c r="E45" s="222"/>
      <c r="F45" s="222"/>
      <c r="G45" s="223"/>
      <c r="H45" s="224">
        <v>100</v>
      </c>
      <c r="I45" s="218"/>
      <c r="J45" s="430"/>
      <c r="K45" s="219"/>
      <c r="L45" s="251"/>
      <c r="M45" s="148"/>
      <c r="N45" s="104"/>
      <c r="O45" s="104"/>
      <c r="P45" s="104"/>
      <c r="Q45" s="104"/>
      <c r="R45" s="104"/>
      <c r="S45" s="104"/>
      <c r="T45" s="104"/>
      <c r="U45"/>
    </row>
    <row r="46" spans="1:21" ht="28.35" customHeight="1" x14ac:dyDescent="0.25">
      <c r="A46" s="213"/>
      <c r="B46" s="321" t="s">
        <v>99</v>
      </c>
      <c r="C46" s="320"/>
      <c r="D46" s="222"/>
      <c r="E46" s="222"/>
      <c r="F46" s="222"/>
      <c r="G46" s="223"/>
      <c r="H46" s="224">
        <v>200</v>
      </c>
      <c r="I46" s="218"/>
      <c r="J46" s="430"/>
      <c r="K46" s="219"/>
      <c r="L46" s="251"/>
      <c r="N46" s="104"/>
      <c r="O46" s="104"/>
      <c r="P46" s="104"/>
      <c r="Q46" s="104"/>
      <c r="R46" s="104"/>
      <c r="S46" s="104"/>
      <c r="T46" s="104"/>
      <c r="U46"/>
    </row>
    <row r="47" spans="1:21" x14ac:dyDescent="0.25">
      <c r="A47" s="213"/>
      <c r="B47" s="321" t="s">
        <v>100</v>
      </c>
      <c r="C47" s="221">
        <v>3.9399999999999998E-2</v>
      </c>
      <c r="D47" s="222"/>
      <c r="E47" s="222"/>
      <c r="F47" s="222"/>
      <c r="G47" s="223"/>
      <c r="H47" s="224">
        <f>+SUM(H42:H46)*0.0394</f>
        <v>42.157999999999994</v>
      </c>
      <c r="I47" s="218"/>
      <c r="J47" s="430"/>
      <c r="K47" s="219"/>
      <c r="L47" s="251"/>
      <c r="N47" s="104"/>
      <c r="O47" s="104"/>
      <c r="P47" s="104"/>
      <c r="Q47" s="104"/>
      <c r="R47" s="104"/>
      <c r="S47" s="104"/>
      <c r="T47" s="104"/>
      <c r="U47"/>
    </row>
    <row r="48" spans="1:21" ht="13.8" thickBot="1" x14ac:dyDescent="0.3">
      <c r="A48" s="213"/>
      <c r="B48" s="345" t="s">
        <v>160</v>
      </c>
      <c r="C48" s="291"/>
      <c r="D48" s="292"/>
      <c r="E48" s="293"/>
      <c r="F48" s="294"/>
      <c r="G48" s="294"/>
      <c r="H48" s="295"/>
      <c r="I48" s="296">
        <f>SUM(H42:H47)</f>
        <v>1112.1579999999999</v>
      </c>
      <c r="J48" s="431"/>
      <c r="K48" s="405"/>
      <c r="L48" s="335"/>
      <c r="N48" s="104"/>
      <c r="O48" s="104"/>
      <c r="P48" s="104"/>
      <c r="Q48" s="104"/>
      <c r="R48" s="104"/>
      <c r="S48" s="104"/>
      <c r="T48" s="104"/>
      <c r="U48"/>
    </row>
    <row r="49" spans="1:21" ht="13.8" thickBot="1" x14ac:dyDescent="0.3">
      <c r="A49" s="213"/>
      <c r="B49" s="336" t="s">
        <v>154</v>
      </c>
      <c r="C49" s="337">
        <f>+I49/I99</f>
        <v>9.686035708904818E-2</v>
      </c>
      <c r="D49" s="338"/>
      <c r="E49" s="338"/>
      <c r="F49" s="338"/>
      <c r="G49" s="339" t="s">
        <v>101</v>
      </c>
      <c r="H49" s="340"/>
      <c r="I49" s="341">
        <f>+I48+I39+I18</f>
        <v>23185.373677328003</v>
      </c>
      <c r="J49" s="481"/>
      <c r="K49" s="407">
        <v>23195</v>
      </c>
      <c r="L49" s="479" t="s">
        <v>204</v>
      </c>
      <c r="N49" s="104"/>
      <c r="O49" s="104"/>
      <c r="P49" s="104"/>
      <c r="Q49" s="104"/>
      <c r="R49" s="104"/>
      <c r="S49" s="104"/>
      <c r="T49" s="104"/>
      <c r="U49"/>
    </row>
    <row r="50" spans="1:21" ht="13.8" thickBot="1" x14ac:dyDescent="0.3">
      <c r="A50" s="561" t="s">
        <v>1</v>
      </c>
      <c r="B50" s="571" t="s">
        <v>0</v>
      </c>
      <c r="C50" s="572"/>
      <c r="D50" s="573"/>
      <c r="E50" s="573"/>
      <c r="F50" s="573"/>
      <c r="G50" s="573"/>
      <c r="H50" s="573"/>
      <c r="I50" s="573"/>
      <c r="J50" s="573"/>
      <c r="K50" s="573"/>
      <c r="L50" s="574"/>
      <c r="M50" s="105"/>
      <c r="N50" s="105"/>
      <c r="O50" s="106"/>
      <c r="P50" s="106"/>
      <c r="Q50" s="106"/>
      <c r="R50" s="106"/>
      <c r="S50" s="106"/>
      <c r="T50" s="106"/>
      <c r="U50" s="106"/>
    </row>
    <row r="51" spans="1:21" ht="25.5" customHeight="1" thickBot="1" x14ac:dyDescent="0.3">
      <c r="A51" s="562"/>
      <c r="B51" s="550"/>
      <c r="C51" s="566" t="s">
        <v>8</v>
      </c>
      <c r="D51" s="586"/>
      <c r="E51" s="586"/>
      <c r="F51" s="586"/>
      <c r="G51" s="587"/>
      <c r="H51" s="156" t="s">
        <v>2</v>
      </c>
      <c r="I51" s="12" t="s">
        <v>37</v>
      </c>
      <c r="J51" s="414" t="s">
        <v>17</v>
      </c>
      <c r="K51" s="408" t="s">
        <v>202</v>
      </c>
      <c r="L51" s="35" t="s">
        <v>9</v>
      </c>
      <c r="O51" s="104"/>
      <c r="P51" s="104"/>
      <c r="Q51" s="104"/>
      <c r="R51" s="104"/>
      <c r="S51" s="104"/>
      <c r="T51" s="104"/>
      <c r="U51" s="104"/>
    </row>
    <row r="52" spans="1:21" ht="26.4" x14ac:dyDescent="0.25">
      <c r="A52" s="559" t="s">
        <v>10</v>
      </c>
      <c r="B52" s="46" t="s">
        <v>14</v>
      </c>
      <c r="C52" s="74" t="s">
        <v>116</v>
      </c>
      <c r="D52" s="84" t="s">
        <v>117</v>
      </c>
      <c r="E52" s="84" t="s">
        <v>118</v>
      </c>
      <c r="F52" s="312" t="s">
        <v>119</v>
      </c>
      <c r="G52" s="312" t="s">
        <v>120</v>
      </c>
      <c r="H52" s="4"/>
      <c r="I52" s="24"/>
      <c r="J52" s="432"/>
      <c r="K52" s="403"/>
      <c r="L52" s="188"/>
      <c r="O52" s="104"/>
      <c r="P52" s="104"/>
      <c r="Q52" s="104"/>
      <c r="R52" s="104"/>
      <c r="S52" s="104"/>
      <c r="T52" s="104"/>
      <c r="U52" s="104"/>
    </row>
    <row r="53" spans="1:21" ht="105.6" x14ac:dyDescent="0.25">
      <c r="A53" s="560"/>
      <c r="B53" s="65" t="s">
        <v>82</v>
      </c>
      <c r="C53" s="510">
        <v>45.85</v>
      </c>
      <c r="D53" s="400">
        <f>10.5+0.95</f>
        <v>11.45</v>
      </c>
      <c r="E53" s="264">
        <v>52.2</v>
      </c>
      <c r="F53" s="269">
        <v>1</v>
      </c>
      <c r="G53" s="269"/>
      <c r="H53" s="68">
        <f>C53*D53*E53</f>
        <v>27404.086499999998</v>
      </c>
      <c r="I53" s="390"/>
      <c r="J53" s="480"/>
      <c r="K53" s="403"/>
      <c r="L53" s="82" t="s">
        <v>167</v>
      </c>
      <c r="O53" s="104"/>
      <c r="P53" s="104"/>
      <c r="Q53" s="104"/>
      <c r="R53" s="104"/>
      <c r="S53" s="104"/>
      <c r="T53" s="104"/>
      <c r="U53" s="104"/>
    </row>
    <row r="54" spans="1:21" ht="39.6" x14ac:dyDescent="0.25">
      <c r="A54" s="560"/>
      <c r="B54" s="65" t="s">
        <v>164</v>
      </c>
      <c r="C54" s="510">
        <f>30.87*1.01</f>
        <v>31.178700000000003</v>
      </c>
      <c r="D54" s="400">
        <v>0.55000000000000004</v>
      </c>
      <c r="E54" s="264">
        <v>52.2</v>
      </c>
      <c r="F54" s="269">
        <v>1</v>
      </c>
      <c r="G54" s="269"/>
      <c r="H54" s="68">
        <f>+C54*D54*E54*F54+G54</f>
        <v>895.14047700000015</v>
      </c>
      <c r="I54" s="390"/>
      <c r="J54" s="480"/>
      <c r="K54" s="403"/>
      <c r="L54" s="385" t="s">
        <v>194</v>
      </c>
      <c r="O54" s="104"/>
      <c r="P54" s="104"/>
      <c r="Q54" s="104"/>
      <c r="R54" s="104"/>
      <c r="S54" s="104"/>
      <c r="T54" s="104"/>
      <c r="U54" s="104"/>
    </row>
    <row r="55" spans="1:21" ht="39.6" x14ac:dyDescent="0.25">
      <c r="A55" s="560"/>
      <c r="B55" s="21" t="s">
        <v>90</v>
      </c>
      <c r="C55" s="510">
        <v>35.229999999999997</v>
      </c>
      <c r="D55" s="268">
        <v>35</v>
      </c>
      <c r="E55" s="264">
        <v>52.2</v>
      </c>
      <c r="F55" s="269">
        <v>1</v>
      </c>
      <c r="G55" s="269"/>
      <c r="H55" s="412">
        <f>C55*D55*E55</f>
        <v>64365.21</v>
      </c>
      <c r="I55" s="120"/>
      <c r="J55" s="418"/>
      <c r="K55" s="403"/>
      <c r="L55" s="100" t="s">
        <v>81</v>
      </c>
      <c r="O55" s="104"/>
      <c r="P55" s="104"/>
      <c r="Q55" s="104"/>
      <c r="R55" s="104"/>
      <c r="S55" s="104"/>
      <c r="T55" s="104"/>
      <c r="U55" s="104"/>
    </row>
    <row r="56" spans="1:21" ht="79.2" x14ac:dyDescent="0.25">
      <c r="A56" s="560"/>
      <c r="B56" s="204" t="s">
        <v>190</v>
      </c>
      <c r="C56" s="510">
        <v>30.23</v>
      </c>
      <c r="D56" s="268">
        <v>35</v>
      </c>
      <c r="E56" s="264">
        <v>52.2</v>
      </c>
      <c r="F56" s="269">
        <v>1</v>
      </c>
      <c r="G56" s="269"/>
      <c r="H56" s="412">
        <f>C56*D56*E56</f>
        <v>55230.21</v>
      </c>
      <c r="I56" s="200"/>
      <c r="J56" s="419"/>
      <c r="K56" s="403"/>
      <c r="L56" s="201" t="s">
        <v>88</v>
      </c>
      <c r="N56" s="105"/>
      <c r="O56" s="104"/>
      <c r="P56" s="104"/>
      <c r="Q56" s="104"/>
      <c r="R56" s="104"/>
      <c r="S56" s="104"/>
      <c r="T56" s="104"/>
      <c r="U56" s="104"/>
    </row>
    <row r="57" spans="1:21" ht="33.75" customHeight="1" x14ac:dyDescent="0.25">
      <c r="A57" s="560"/>
      <c r="B57" s="61" t="s">
        <v>15</v>
      </c>
      <c r="C57" s="311">
        <v>0.20349999999999999</v>
      </c>
      <c r="D57" s="268"/>
      <c r="E57" s="264"/>
      <c r="F57" s="269"/>
      <c r="G57" s="269"/>
      <c r="H57" s="412">
        <f>SUM(H53:H56)*C57</f>
        <v>30096.560659819497</v>
      </c>
      <c r="I57" s="119"/>
      <c r="J57" s="420"/>
      <c r="K57" s="403"/>
      <c r="L57" s="89" t="s">
        <v>179</v>
      </c>
      <c r="M57" s="398"/>
    </row>
    <row r="58" spans="1:21" x14ac:dyDescent="0.25">
      <c r="A58" s="560"/>
      <c r="B58" s="21"/>
      <c r="C58" s="47"/>
      <c r="D58" s="96"/>
      <c r="E58" s="93"/>
      <c r="F58" s="298"/>
      <c r="G58" s="298"/>
      <c r="H58" s="121" t="s">
        <v>16</v>
      </c>
      <c r="I58" s="122">
        <f>SUM(H52:H57)</f>
        <v>177991.20763681948</v>
      </c>
      <c r="J58" s="433"/>
      <c r="K58" s="403">
        <v>177991</v>
      </c>
      <c r="L58" s="97"/>
    </row>
    <row r="59" spans="1:21" x14ac:dyDescent="0.25">
      <c r="A59" s="560"/>
      <c r="B59" s="21"/>
      <c r="C59" s="47"/>
      <c r="D59" s="96"/>
      <c r="E59" s="93"/>
      <c r="F59" s="298"/>
      <c r="G59" s="298"/>
      <c r="H59" s="121"/>
      <c r="I59" s="122"/>
      <c r="J59" s="433"/>
      <c r="K59" s="403"/>
      <c r="L59" s="97"/>
    </row>
    <row r="60" spans="1:21" x14ac:dyDescent="0.25">
      <c r="A60" s="560"/>
      <c r="B60" s="46" t="s">
        <v>18</v>
      </c>
      <c r="C60" s="47"/>
      <c r="D60" s="96"/>
      <c r="E60" s="93"/>
      <c r="F60" s="298"/>
      <c r="G60" s="298"/>
      <c r="H60" s="121"/>
      <c r="I60" s="122"/>
      <c r="J60" s="433"/>
      <c r="K60" s="403"/>
      <c r="L60" s="97"/>
    </row>
    <row r="61" spans="1:21" ht="39.6" x14ac:dyDescent="0.25">
      <c r="A61" s="560"/>
      <c r="B61" s="61" t="s">
        <v>19</v>
      </c>
      <c r="C61" s="62">
        <v>90</v>
      </c>
      <c r="D61" s="144">
        <v>12</v>
      </c>
      <c r="E61" s="64"/>
      <c r="F61" s="299"/>
      <c r="G61" s="299"/>
      <c r="H61" s="123">
        <f>C61*D61</f>
        <v>1080</v>
      </c>
      <c r="I61" s="124"/>
      <c r="J61" s="434"/>
      <c r="K61" s="403"/>
      <c r="L61" s="82" t="s">
        <v>108</v>
      </c>
    </row>
    <row r="62" spans="1:21" x14ac:dyDescent="0.25">
      <c r="A62" s="560"/>
      <c r="B62" s="21"/>
      <c r="C62" s="47"/>
      <c r="D62" s="145"/>
      <c r="E62" s="19"/>
      <c r="F62" s="300"/>
      <c r="G62" s="300"/>
      <c r="H62" s="125" t="s">
        <v>20</v>
      </c>
      <c r="I62" s="126">
        <f>SUM(H61:H61)</f>
        <v>1080</v>
      </c>
      <c r="J62" s="435"/>
      <c r="K62" s="403">
        <v>1080</v>
      </c>
      <c r="L62" s="49"/>
    </row>
    <row r="63" spans="1:21" x14ac:dyDescent="0.25">
      <c r="A63" s="560"/>
      <c r="B63" s="21"/>
      <c r="C63" s="47"/>
      <c r="D63" s="145"/>
      <c r="E63" s="19"/>
      <c r="F63" s="300"/>
      <c r="G63" s="300"/>
      <c r="H63" s="125"/>
      <c r="I63" s="126"/>
      <c r="J63" s="435"/>
      <c r="K63" s="403"/>
      <c r="L63" s="49"/>
    </row>
    <row r="64" spans="1:21" x14ac:dyDescent="0.25">
      <c r="A64" s="560"/>
      <c r="B64" s="46" t="s">
        <v>21</v>
      </c>
      <c r="C64" s="47"/>
      <c r="D64" s="145"/>
      <c r="E64" s="19"/>
      <c r="F64" s="300"/>
      <c r="G64" s="300"/>
      <c r="H64" s="125"/>
      <c r="I64" s="126"/>
      <c r="J64" s="435"/>
      <c r="K64" s="403"/>
      <c r="L64" s="49"/>
    </row>
    <row r="65" spans="1:16" ht="52.8" x14ac:dyDescent="0.25">
      <c r="A65" s="560"/>
      <c r="B65" s="59" t="s">
        <v>22</v>
      </c>
      <c r="C65" s="62">
        <v>70</v>
      </c>
      <c r="D65" s="144">
        <v>12</v>
      </c>
      <c r="E65" s="60"/>
      <c r="F65" s="301"/>
      <c r="G65" s="301"/>
      <c r="H65" s="123">
        <f>C65*D65</f>
        <v>840</v>
      </c>
      <c r="I65" s="127"/>
      <c r="J65" s="434">
        <v>840</v>
      </c>
      <c r="K65" s="403"/>
      <c r="L65" s="48" t="s">
        <v>192</v>
      </c>
    </row>
    <row r="66" spans="1:16" ht="79.2" x14ac:dyDescent="0.25">
      <c r="A66" s="560"/>
      <c r="B66" s="61" t="s">
        <v>23</v>
      </c>
      <c r="C66" s="62"/>
      <c r="D66" s="144"/>
      <c r="E66" s="64"/>
      <c r="F66" s="299"/>
      <c r="G66" s="299"/>
      <c r="H66" s="123">
        <f>1200+350</f>
        <v>1550</v>
      </c>
      <c r="I66" s="124"/>
      <c r="J66" s="434">
        <v>1550</v>
      </c>
      <c r="K66" s="403"/>
      <c r="L66" s="48" t="s">
        <v>191</v>
      </c>
    </row>
    <row r="67" spans="1:16" x14ac:dyDescent="0.25">
      <c r="A67" s="560"/>
      <c r="B67" s="21"/>
      <c r="C67" s="47"/>
      <c r="D67" s="18"/>
      <c r="E67" s="19"/>
      <c r="F67" s="300"/>
      <c r="G67" s="300"/>
      <c r="H67" s="125" t="s">
        <v>24</v>
      </c>
      <c r="I67" s="126">
        <f>SUM(H65:H66)</f>
        <v>2390</v>
      </c>
      <c r="J67" s="435"/>
      <c r="K67" s="403">
        <v>2390</v>
      </c>
      <c r="L67" s="49"/>
    </row>
    <row r="68" spans="1:16" x14ac:dyDescent="0.25">
      <c r="A68" s="560"/>
      <c r="B68" s="21"/>
      <c r="C68" s="47"/>
      <c r="D68" s="18"/>
      <c r="E68" s="19"/>
      <c r="F68" s="300"/>
      <c r="G68" s="300"/>
      <c r="H68" s="128"/>
      <c r="I68" s="126"/>
      <c r="J68" s="435"/>
      <c r="K68" s="403"/>
      <c r="L68" s="49"/>
    </row>
    <row r="69" spans="1:16" x14ac:dyDescent="0.25">
      <c r="A69" s="560"/>
      <c r="B69" s="46" t="s">
        <v>38</v>
      </c>
      <c r="C69" s="47"/>
      <c r="D69" s="18"/>
      <c r="E69" s="19"/>
      <c r="F69" s="300"/>
      <c r="G69" s="300"/>
      <c r="H69" s="128"/>
      <c r="I69" s="126"/>
      <c r="J69" s="435"/>
      <c r="K69" s="403"/>
      <c r="L69" s="49"/>
    </row>
    <row r="70" spans="1:16" ht="79.2" x14ac:dyDescent="0.25">
      <c r="A70" s="560"/>
      <c r="B70" s="61" t="s">
        <v>86</v>
      </c>
      <c r="C70" s="62">
        <v>40</v>
      </c>
      <c r="D70" s="63">
        <v>40</v>
      </c>
      <c r="E70" s="64"/>
      <c r="F70" s="299"/>
      <c r="G70" s="299"/>
      <c r="H70" s="123">
        <f>C70*D70</f>
        <v>1600</v>
      </c>
      <c r="I70" s="124"/>
      <c r="J70" s="434">
        <v>1600</v>
      </c>
      <c r="K70" s="403"/>
      <c r="L70" s="48" t="s">
        <v>80</v>
      </c>
    </row>
    <row r="71" spans="1:16" ht="79.2" x14ac:dyDescent="0.25">
      <c r="A71" s="560"/>
      <c r="B71" s="81" t="s">
        <v>84</v>
      </c>
      <c r="C71" s="167">
        <v>30</v>
      </c>
      <c r="D71" s="190">
        <f>(5*12)+(6*1)+(2*4)+(1*6)</f>
        <v>80</v>
      </c>
      <c r="E71" s="191"/>
      <c r="F71" s="342"/>
      <c r="G71" s="342"/>
      <c r="H71" s="123">
        <f>C71*D71</f>
        <v>2400</v>
      </c>
      <c r="I71" s="124"/>
      <c r="J71" s="434"/>
      <c r="K71" s="403"/>
      <c r="L71" s="48" t="s">
        <v>171</v>
      </c>
    </row>
    <row r="72" spans="1:16" x14ac:dyDescent="0.25">
      <c r="A72" s="560"/>
      <c r="B72" s="21"/>
      <c r="C72" s="192"/>
      <c r="D72" s="193"/>
      <c r="E72" s="194"/>
      <c r="F72" s="343"/>
      <c r="G72" s="343"/>
      <c r="H72" s="125" t="s">
        <v>39</v>
      </c>
      <c r="I72" s="126">
        <f>SUM(H70:H71)</f>
        <v>4000</v>
      </c>
      <c r="J72" s="435"/>
      <c r="K72" s="403">
        <v>4000</v>
      </c>
      <c r="L72" s="48"/>
    </row>
    <row r="73" spans="1:16" x14ac:dyDescent="0.25">
      <c r="A73" s="560"/>
      <c r="B73" s="21"/>
      <c r="C73" s="192"/>
      <c r="D73" s="193"/>
      <c r="E73" s="194"/>
      <c r="F73" s="343"/>
      <c r="G73" s="343"/>
      <c r="H73" s="128"/>
      <c r="I73" s="126"/>
      <c r="J73" s="435"/>
      <c r="K73" s="403"/>
      <c r="L73" s="48"/>
    </row>
    <row r="74" spans="1:16" x14ac:dyDescent="0.25">
      <c r="A74" s="560"/>
      <c r="B74" s="46" t="s">
        <v>25</v>
      </c>
      <c r="C74" s="192"/>
      <c r="D74" s="193"/>
      <c r="E74" s="194"/>
      <c r="F74" s="343"/>
      <c r="G74" s="343"/>
      <c r="H74" s="128"/>
      <c r="I74" s="126"/>
      <c r="J74" s="435"/>
      <c r="K74" s="403"/>
      <c r="L74" s="48"/>
    </row>
    <row r="75" spans="1:16" ht="78.75" customHeight="1" x14ac:dyDescent="0.25">
      <c r="A75" s="560"/>
      <c r="B75" s="65" t="s">
        <v>79</v>
      </c>
      <c r="C75" s="167">
        <v>120</v>
      </c>
      <c r="D75" s="386">
        <v>27</v>
      </c>
      <c r="E75" s="190"/>
      <c r="F75" s="343"/>
      <c r="G75" s="131"/>
      <c r="H75" s="131">
        <f>C75*D75</f>
        <v>3240</v>
      </c>
      <c r="I75" s="126"/>
      <c r="J75" s="435"/>
      <c r="K75" s="403"/>
      <c r="L75" s="48" t="s">
        <v>199</v>
      </c>
      <c r="M75" s="349"/>
    </row>
    <row r="76" spans="1:16" ht="145.19999999999999" x14ac:dyDescent="0.25">
      <c r="A76" s="560"/>
      <c r="B76" s="86" t="s">
        <v>210</v>
      </c>
      <c r="C76" s="66"/>
      <c r="D76" s="87"/>
      <c r="E76" s="88"/>
      <c r="F76" s="303"/>
      <c r="G76" s="303"/>
      <c r="H76" s="129">
        <f>(1330*22.8)+4000</f>
        <v>34324</v>
      </c>
      <c r="I76" s="130"/>
      <c r="J76" s="482"/>
      <c r="K76" s="403"/>
      <c r="L76" s="85" t="s">
        <v>198</v>
      </c>
      <c r="M76" s="105"/>
    </row>
    <row r="77" spans="1:16" ht="26.4" x14ac:dyDescent="0.25">
      <c r="A77" s="560"/>
      <c r="B77" s="86" t="s">
        <v>60</v>
      </c>
      <c r="C77" s="66">
        <v>120</v>
      </c>
      <c r="D77" s="87">
        <v>60</v>
      </c>
      <c r="E77" s="88"/>
      <c r="F77" s="303"/>
      <c r="G77" s="303"/>
      <c r="H77" s="129">
        <f>C77*D77</f>
        <v>7200</v>
      </c>
      <c r="I77" s="130"/>
      <c r="J77" s="482">
        <v>7200</v>
      </c>
      <c r="K77" s="403"/>
      <c r="L77" s="85" t="s">
        <v>188</v>
      </c>
    </row>
    <row r="78" spans="1:16" ht="13.8" x14ac:dyDescent="0.25">
      <c r="A78" s="560"/>
      <c r="B78" s="21"/>
      <c r="C78" s="47"/>
      <c r="D78" s="18"/>
      <c r="E78" s="19"/>
      <c r="F78" s="300"/>
      <c r="G78" s="300"/>
      <c r="H78" s="125" t="s">
        <v>27</v>
      </c>
      <c r="I78" s="126">
        <f>SUM(H75:H77)</f>
        <v>44764</v>
      </c>
      <c r="J78" s="435"/>
      <c r="K78" s="403">
        <v>44764</v>
      </c>
      <c r="L78" s="37"/>
      <c r="N78" s="107"/>
    </row>
    <row r="79" spans="1:16" ht="13.8" x14ac:dyDescent="0.25">
      <c r="A79" s="560"/>
      <c r="B79" s="21"/>
      <c r="C79" s="47"/>
      <c r="D79" s="18"/>
      <c r="E79" s="19"/>
      <c r="F79" s="300"/>
      <c r="G79" s="300"/>
      <c r="H79" s="125"/>
      <c r="I79" s="126"/>
      <c r="J79" s="435"/>
      <c r="K79" s="403"/>
      <c r="L79" s="37"/>
      <c r="N79" s="148"/>
      <c r="O79" s="108"/>
      <c r="P79" s="108"/>
    </row>
    <row r="80" spans="1:16" ht="13.8" x14ac:dyDescent="0.25">
      <c r="A80" s="560"/>
      <c r="B80" s="46" t="s">
        <v>40</v>
      </c>
      <c r="C80" s="47"/>
      <c r="D80" s="18"/>
      <c r="E80" s="19"/>
      <c r="F80" s="300"/>
      <c r="G80" s="300"/>
      <c r="H80" s="125"/>
      <c r="I80" s="126"/>
      <c r="J80" s="435"/>
      <c r="K80" s="403"/>
      <c r="L80" s="37"/>
      <c r="O80" s="108"/>
      <c r="P80" s="108"/>
    </row>
    <row r="81" spans="1:16" ht="13.8" x14ac:dyDescent="0.25">
      <c r="A81" s="560"/>
      <c r="B81" s="21" t="s">
        <v>26</v>
      </c>
      <c r="C81" s="47">
        <v>200</v>
      </c>
      <c r="D81" s="69">
        <v>2</v>
      </c>
      <c r="E81" s="19"/>
      <c r="F81" s="300"/>
      <c r="G81" s="300"/>
      <c r="H81" s="128">
        <f>C81*D81</f>
        <v>400</v>
      </c>
      <c r="I81" s="126"/>
      <c r="J81" s="435"/>
      <c r="K81" s="403"/>
      <c r="L81" s="48"/>
      <c r="O81" s="108"/>
      <c r="P81" s="108"/>
    </row>
    <row r="82" spans="1:16" ht="13.8" x14ac:dyDescent="0.25">
      <c r="A82" s="560"/>
      <c r="B82" s="21"/>
      <c r="C82" s="47"/>
      <c r="D82" s="18"/>
      <c r="E82" s="19"/>
      <c r="F82" s="300"/>
      <c r="G82" s="300"/>
      <c r="H82" s="125" t="s">
        <v>41</v>
      </c>
      <c r="I82" s="126">
        <f>SUM(H81:H81)</f>
        <v>400</v>
      </c>
      <c r="J82" s="435"/>
      <c r="K82" s="403">
        <v>400</v>
      </c>
      <c r="L82" s="37"/>
      <c r="O82" s="108"/>
      <c r="P82" s="108"/>
    </row>
    <row r="83" spans="1:16" ht="12" customHeight="1" x14ac:dyDescent="0.25">
      <c r="A83" s="560"/>
      <c r="B83" s="21"/>
      <c r="C83" s="47"/>
      <c r="D83" s="18"/>
      <c r="E83" s="19"/>
      <c r="F83" s="300"/>
      <c r="G83" s="300"/>
      <c r="H83" s="128"/>
      <c r="I83" s="126"/>
      <c r="J83" s="435"/>
      <c r="K83" s="403"/>
      <c r="L83" s="37"/>
    </row>
    <row r="84" spans="1:16" x14ac:dyDescent="0.25">
      <c r="A84" s="560"/>
      <c r="B84" s="46" t="s">
        <v>28</v>
      </c>
      <c r="C84" s="47"/>
      <c r="D84" s="18"/>
      <c r="E84" s="19"/>
      <c r="F84" s="300"/>
      <c r="G84" s="300"/>
      <c r="H84" s="128"/>
      <c r="I84" s="126"/>
      <c r="J84" s="435"/>
      <c r="K84" s="403"/>
      <c r="L84" s="37"/>
    </row>
    <row r="85" spans="1:16" x14ac:dyDescent="0.25">
      <c r="A85" s="560"/>
      <c r="B85" s="71" t="s">
        <v>42</v>
      </c>
      <c r="C85" s="66"/>
      <c r="D85" s="70"/>
      <c r="E85" s="67"/>
      <c r="F85" s="304"/>
      <c r="G85" s="304"/>
      <c r="H85" s="128">
        <f>C85*D85</f>
        <v>0</v>
      </c>
      <c r="I85" s="124"/>
      <c r="J85" s="434"/>
      <c r="K85" s="403"/>
      <c r="L85" s="48"/>
    </row>
    <row r="86" spans="1:16" x14ac:dyDescent="0.25">
      <c r="A86" s="560"/>
      <c r="B86" s="21"/>
      <c r="C86" s="47"/>
      <c r="D86" s="18"/>
      <c r="E86" s="19"/>
      <c r="F86" s="300"/>
      <c r="G86" s="300"/>
      <c r="H86" s="125" t="s">
        <v>29</v>
      </c>
      <c r="I86" s="126">
        <f>H85</f>
        <v>0</v>
      </c>
      <c r="J86" s="435"/>
      <c r="K86" s="403"/>
      <c r="L86" s="37"/>
    </row>
    <row r="87" spans="1:16" x14ac:dyDescent="0.25">
      <c r="A87" s="560"/>
      <c r="B87" s="21"/>
      <c r="C87" s="47"/>
      <c r="D87" s="18"/>
      <c r="E87" s="19"/>
      <c r="F87" s="300"/>
      <c r="G87" s="300"/>
      <c r="H87" s="128"/>
      <c r="I87" s="126"/>
      <c r="J87" s="435"/>
      <c r="K87" s="403"/>
      <c r="L87" s="37"/>
    </row>
    <row r="88" spans="1:16" x14ac:dyDescent="0.25">
      <c r="A88" s="560"/>
      <c r="B88" s="46" t="s">
        <v>30</v>
      </c>
      <c r="C88" s="47"/>
      <c r="D88" s="18"/>
      <c r="E88" s="19"/>
      <c r="F88" s="300"/>
      <c r="G88" s="300"/>
      <c r="H88" s="128"/>
      <c r="I88" s="132"/>
      <c r="J88" s="436"/>
      <c r="K88" s="403"/>
      <c r="L88" s="37"/>
    </row>
    <row r="89" spans="1:16" ht="79.2" x14ac:dyDescent="0.25">
      <c r="A89" s="560"/>
      <c r="B89" s="65" t="s">
        <v>161</v>
      </c>
      <c r="C89" s="66">
        <f>+H89/D89</f>
        <v>410.6875</v>
      </c>
      <c r="D89" s="70">
        <v>12</v>
      </c>
      <c r="E89" s="67"/>
      <c r="F89" s="304"/>
      <c r="G89" s="304"/>
      <c r="H89" s="123">
        <f>31.15*155+100</f>
        <v>4928.25</v>
      </c>
      <c r="I89" s="133"/>
      <c r="J89" s="420">
        <v>4928</v>
      </c>
      <c r="K89" s="403"/>
      <c r="L89" s="201" t="s">
        <v>184</v>
      </c>
    </row>
    <row r="90" spans="1:16" ht="24.6" customHeight="1" x14ac:dyDescent="0.25">
      <c r="A90" s="560"/>
      <c r="B90" s="161" t="s">
        <v>61</v>
      </c>
      <c r="C90" s="66"/>
      <c r="D90" s="402"/>
      <c r="E90" s="67"/>
      <c r="F90" s="304"/>
      <c r="G90" s="304"/>
      <c r="H90" s="123">
        <v>576</v>
      </c>
      <c r="I90" s="133"/>
      <c r="J90" s="420">
        <v>576</v>
      </c>
      <c r="K90" s="403"/>
      <c r="L90" s="242" t="s">
        <v>115</v>
      </c>
    </row>
    <row r="91" spans="1:16" ht="79.2" x14ac:dyDescent="0.25">
      <c r="A91" s="560"/>
      <c r="B91" s="61" t="s">
        <v>31</v>
      </c>
      <c r="C91" s="62"/>
      <c r="D91" s="83"/>
      <c r="E91" s="64"/>
      <c r="F91" s="299"/>
      <c r="G91" s="299"/>
      <c r="H91" s="123">
        <f>79*12+35*2*12+100</f>
        <v>1888</v>
      </c>
      <c r="I91" s="124"/>
      <c r="J91" s="434">
        <v>1888</v>
      </c>
      <c r="K91" s="403"/>
      <c r="L91" s="201" t="s">
        <v>196</v>
      </c>
    </row>
    <row r="92" spans="1:16" x14ac:dyDescent="0.25">
      <c r="A92" s="560"/>
      <c r="B92" s="21" t="s">
        <v>32</v>
      </c>
      <c r="C92" s="47">
        <v>8</v>
      </c>
      <c r="D92" s="69">
        <v>12</v>
      </c>
      <c r="E92" s="19"/>
      <c r="F92" s="300"/>
      <c r="G92" s="300"/>
      <c r="H92" s="128">
        <f t="shared" ref="H92" si="9">C92*D92</f>
        <v>96</v>
      </c>
      <c r="I92" s="126"/>
      <c r="J92" s="435">
        <v>96</v>
      </c>
      <c r="K92" s="403"/>
      <c r="L92" s="37"/>
    </row>
    <row r="93" spans="1:16" ht="52.8" x14ac:dyDescent="0.25">
      <c r="A93" s="560"/>
      <c r="B93" s="61" t="s">
        <v>33</v>
      </c>
      <c r="C93" s="62"/>
      <c r="D93" s="83"/>
      <c r="E93" s="64"/>
      <c r="F93" s="299"/>
      <c r="G93" s="299"/>
      <c r="H93" s="123">
        <v>500</v>
      </c>
      <c r="I93" s="124"/>
      <c r="J93" s="434">
        <v>500</v>
      </c>
      <c r="K93" s="403"/>
      <c r="L93" s="82" t="s">
        <v>107</v>
      </c>
    </row>
    <row r="94" spans="1:16" x14ac:dyDescent="0.25">
      <c r="A94" s="560"/>
      <c r="B94" s="149"/>
      <c r="C94" s="47"/>
      <c r="D94" s="69"/>
      <c r="E94" s="19"/>
      <c r="F94" s="300"/>
      <c r="G94" s="300"/>
      <c r="H94" s="125" t="s">
        <v>34</v>
      </c>
      <c r="I94" s="126">
        <f>SUM(H89:H93)</f>
        <v>7988.25</v>
      </c>
      <c r="J94" s="435"/>
      <c r="K94" s="403">
        <v>7988</v>
      </c>
      <c r="L94" s="37"/>
    </row>
    <row r="95" spans="1:16" x14ac:dyDescent="0.25">
      <c r="A95" s="560"/>
      <c r="B95" s="21"/>
      <c r="C95" s="47"/>
      <c r="D95" s="18"/>
      <c r="E95" s="19"/>
      <c r="F95" s="300"/>
      <c r="G95" s="300"/>
      <c r="H95" s="128"/>
      <c r="I95" s="126"/>
      <c r="J95" s="435"/>
      <c r="K95" s="403"/>
      <c r="L95" s="37"/>
    </row>
    <row r="96" spans="1:16" x14ac:dyDescent="0.25">
      <c r="A96" s="560"/>
      <c r="B96" s="90" t="s">
        <v>69</v>
      </c>
      <c r="C96" s="91"/>
      <c r="D96" s="92">
        <v>3.9399999999999998E-2</v>
      </c>
      <c r="E96" s="93"/>
      <c r="F96" s="298"/>
      <c r="G96" s="298"/>
      <c r="H96" s="117">
        <f>J96*D96</f>
        <v>755.61320000000001</v>
      </c>
      <c r="I96" s="126"/>
      <c r="J96" s="435">
        <f>SUM(J52:J95)</f>
        <v>19178</v>
      </c>
      <c r="K96" s="403">
        <v>756</v>
      </c>
      <c r="L96" s="37"/>
    </row>
    <row r="97" spans="1:12" x14ac:dyDescent="0.25">
      <c r="A97" s="560"/>
      <c r="B97" s="21"/>
      <c r="C97" s="47"/>
      <c r="D97" s="18"/>
      <c r="E97" s="19"/>
      <c r="F97" s="300"/>
      <c r="G97" s="300"/>
      <c r="H97" s="125" t="s">
        <v>114</v>
      </c>
      <c r="I97" s="135">
        <f>H96</f>
        <v>755.61320000000001</v>
      </c>
      <c r="J97" s="437"/>
      <c r="K97" s="403"/>
      <c r="L97" s="37"/>
    </row>
    <row r="98" spans="1:12" ht="13.8" thickBot="1" x14ac:dyDescent="0.3">
      <c r="A98" s="560"/>
      <c r="B98" s="28"/>
      <c r="C98" s="7"/>
      <c r="D98" s="8"/>
      <c r="E98" s="9"/>
      <c r="F98" s="300"/>
      <c r="G98" s="300"/>
      <c r="H98" s="134"/>
      <c r="I98" s="136"/>
      <c r="J98" s="421"/>
      <c r="K98" s="403"/>
      <c r="L98" s="189"/>
    </row>
    <row r="99" spans="1:12" ht="13.8" thickBot="1" x14ac:dyDescent="0.3">
      <c r="A99" s="575"/>
      <c r="B99" s="2" t="s">
        <v>4</v>
      </c>
      <c r="C99" s="6"/>
      <c r="D99" s="5"/>
      <c r="E99" s="5"/>
      <c r="F99" s="5"/>
      <c r="G99" s="5"/>
      <c r="H99" s="137"/>
      <c r="I99" s="137">
        <f>SUM(I55:I98)</f>
        <v>239369.07083681948</v>
      </c>
      <c r="J99" s="438"/>
      <c r="K99" s="407">
        <f>SUM(K52:K98)</f>
        <v>239369</v>
      </c>
      <c r="L99" s="38"/>
    </row>
    <row r="100" spans="1:12" ht="14.1" customHeight="1" thickBot="1" x14ac:dyDescent="0.3">
      <c r="A100" s="561" t="s">
        <v>1</v>
      </c>
      <c r="B100" s="549" t="s">
        <v>0</v>
      </c>
      <c r="C100" s="563" t="s">
        <v>55</v>
      </c>
      <c r="D100" s="564"/>
      <c r="E100" s="564"/>
      <c r="F100" s="564"/>
      <c r="G100" s="564"/>
      <c r="H100" s="564"/>
      <c r="I100" s="564"/>
      <c r="J100" s="564"/>
      <c r="K100" s="564"/>
      <c r="L100" s="565"/>
    </row>
    <row r="101" spans="1:12" ht="25.5" customHeight="1" thickBot="1" x14ac:dyDescent="0.3">
      <c r="A101" s="562"/>
      <c r="B101" s="550"/>
      <c r="C101" s="566" t="s">
        <v>8</v>
      </c>
      <c r="D101" s="586"/>
      <c r="E101" s="586"/>
      <c r="F101" s="586"/>
      <c r="G101" s="587"/>
      <c r="H101" s="156" t="s">
        <v>2</v>
      </c>
      <c r="I101" s="12" t="s">
        <v>37</v>
      </c>
      <c r="J101" s="414"/>
      <c r="K101" s="408" t="s">
        <v>202</v>
      </c>
      <c r="L101" s="35" t="s">
        <v>9</v>
      </c>
    </row>
    <row r="102" spans="1:12" ht="13.35" hidden="1" customHeight="1" x14ac:dyDescent="0.25">
      <c r="A102" s="559" t="s">
        <v>5</v>
      </c>
      <c r="B102" s="21"/>
      <c r="C102" s="17"/>
      <c r="D102" s="42"/>
      <c r="E102" s="42"/>
      <c r="F102" s="297"/>
      <c r="G102" s="297"/>
      <c r="H102" s="4"/>
      <c r="I102" s="24"/>
      <c r="J102" s="439"/>
      <c r="K102" s="52"/>
      <c r="L102" s="36"/>
    </row>
    <row r="103" spans="1:12" ht="13.35" hidden="1" customHeight="1" x14ac:dyDescent="0.25">
      <c r="A103" s="560"/>
      <c r="B103" s="21"/>
      <c r="C103" s="17"/>
      <c r="D103" s="40"/>
      <c r="E103" s="20"/>
      <c r="F103" s="297"/>
      <c r="G103" s="297"/>
      <c r="H103" s="4"/>
      <c r="I103" s="24"/>
      <c r="J103" s="439"/>
      <c r="K103" s="52"/>
      <c r="L103" s="36"/>
    </row>
    <row r="104" spans="1:12" ht="13.35" hidden="1" customHeight="1" x14ac:dyDescent="0.25">
      <c r="A104" s="560"/>
      <c r="B104" s="21"/>
      <c r="C104" s="7"/>
      <c r="D104" s="11"/>
      <c r="E104" s="20"/>
      <c r="F104" s="297"/>
      <c r="G104" s="297"/>
      <c r="H104" s="4"/>
      <c r="I104" s="24"/>
      <c r="J104" s="439"/>
      <c r="K104" s="52"/>
      <c r="L104" s="36"/>
    </row>
    <row r="105" spans="1:12" ht="13.35" hidden="1" customHeight="1" x14ac:dyDescent="0.25">
      <c r="A105" s="560"/>
      <c r="B105" s="10"/>
      <c r="C105" s="7"/>
      <c r="D105" s="22"/>
      <c r="E105" s="8"/>
      <c r="F105" s="305"/>
      <c r="G105" s="305"/>
      <c r="H105" s="4"/>
      <c r="I105" s="24"/>
      <c r="J105" s="439"/>
      <c r="K105" s="52"/>
      <c r="L105" s="36"/>
    </row>
    <row r="106" spans="1:12" ht="13.35" hidden="1" customHeight="1" x14ac:dyDescent="0.25">
      <c r="A106" s="560"/>
      <c r="B106" s="10"/>
      <c r="C106" s="7"/>
      <c r="D106" s="22"/>
      <c r="E106" s="8"/>
      <c r="F106" s="305"/>
      <c r="G106" s="305"/>
      <c r="H106" s="4"/>
      <c r="I106" s="24"/>
      <c r="J106" s="439"/>
      <c r="K106" s="52"/>
      <c r="L106" s="36"/>
    </row>
    <row r="107" spans="1:12" ht="13.35" hidden="1" customHeight="1" x14ac:dyDescent="0.25">
      <c r="A107" s="560"/>
      <c r="B107" s="10"/>
      <c r="C107" s="7"/>
      <c r="D107" s="11"/>
      <c r="E107" s="11"/>
      <c r="F107" s="297"/>
      <c r="G107" s="297"/>
      <c r="H107" s="4"/>
      <c r="I107" s="24"/>
      <c r="J107" s="439"/>
      <c r="K107" s="52"/>
      <c r="L107" s="36"/>
    </row>
    <row r="108" spans="1:12" ht="13.35" hidden="1" customHeight="1" x14ac:dyDescent="0.25">
      <c r="A108" s="560"/>
      <c r="B108" s="32"/>
      <c r="C108" s="29"/>
      <c r="D108" s="41"/>
      <c r="E108" s="31"/>
      <c r="F108" s="306"/>
      <c r="G108" s="306"/>
      <c r="H108" s="33"/>
      <c r="I108" s="34"/>
      <c r="J108" s="415"/>
      <c r="K108" s="54"/>
      <c r="L108" s="36"/>
    </row>
    <row r="109" spans="1:12" ht="13.35" hidden="1" customHeight="1" x14ac:dyDescent="0.25">
      <c r="A109" s="560"/>
      <c r="B109" s="32"/>
      <c r="C109" s="29"/>
      <c r="D109" s="30"/>
      <c r="E109" s="31"/>
      <c r="F109" s="306"/>
      <c r="G109" s="306"/>
      <c r="H109" s="33"/>
      <c r="I109" s="34"/>
      <c r="J109" s="415"/>
      <c r="K109" s="54"/>
      <c r="L109" s="36"/>
    </row>
    <row r="110" spans="1:12" ht="13.35" hidden="1" customHeight="1" x14ac:dyDescent="0.25">
      <c r="A110" s="560"/>
      <c r="B110" s="32"/>
      <c r="C110" s="29"/>
      <c r="D110" s="30"/>
      <c r="E110" s="31"/>
      <c r="F110" s="306"/>
      <c r="G110" s="306"/>
      <c r="H110" s="33"/>
      <c r="I110" s="34"/>
      <c r="J110" s="415"/>
      <c r="K110" s="54"/>
      <c r="L110" s="36"/>
    </row>
    <row r="111" spans="1:12" ht="13.35" hidden="1" customHeight="1" x14ac:dyDescent="0.25">
      <c r="A111" s="560"/>
      <c r="B111" s="10"/>
      <c r="C111" s="7"/>
      <c r="D111" s="8"/>
      <c r="E111" s="9"/>
      <c r="F111" s="300"/>
      <c r="G111" s="300"/>
      <c r="H111" s="4"/>
      <c r="I111" s="24"/>
      <c r="J111" s="439"/>
      <c r="K111" s="52"/>
      <c r="L111" s="36"/>
    </row>
    <row r="112" spans="1:12" ht="13.35" hidden="1" customHeight="1" x14ac:dyDescent="0.25">
      <c r="A112" s="560"/>
      <c r="B112" s="13"/>
      <c r="C112" s="14"/>
      <c r="D112" s="15"/>
      <c r="E112" s="16"/>
      <c r="F112" s="307"/>
      <c r="G112" s="307"/>
      <c r="H112" s="4"/>
      <c r="I112" s="24"/>
      <c r="J112" s="439"/>
      <c r="K112" s="52"/>
      <c r="L112" s="36"/>
    </row>
    <row r="113" spans="1:21" ht="13.8" thickBot="1" x14ac:dyDescent="0.3">
      <c r="A113" s="560"/>
      <c r="B113" s="1"/>
      <c r="C113" s="7"/>
      <c r="D113" s="8"/>
      <c r="E113" s="9"/>
      <c r="F113" s="300"/>
      <c r="G113" s="300"/>
      <c r="H113" s="4"/>
      <c r="I113" s="25"/>
      <c r="J113" s="440"/>
      <c r="K113" s="51"/>
      <c r="L113" s="36"/>
    </row>
    <row r="114" spans="1:21" ht="13.8" thickBot="1" x14ac:dyDescent="0.3">
      <c r="A114" s="43"/>
      <c r="B114" s="2" t="s">
        <v>6</v>
      </c>
      <c r="C114" s="6"/>
      <c r="D114" s="5"/>
      <c r="E114" s="5"/>
      <c r="F114" s="5"/>
      <c r="G114" s="5"/>
      <c r="H114" s="3">
        <f>SUM(H113:H113)</f>
        <v>0</v>
      </c>
      <c r="I114" s="26"/>
      <c r="J114" s="441"/>
      <c r="K114" s="57"/>
      <c r="L114" s="38"/>
    </row>
    <row r="115" spans="1:21" ht="26.85" customHeight="1" x14ac:dyDescent="0.25">
      <c r="A115" s="548" t="s">
        <v>11</v>
      </c>
      <c r="B115" s="549" t="s">
        <v>0</v>
      </c>
      <c r="C115" s="551" t="s">
        <v>8</v>
      </c>
      <c r="D115" s="552"/>
      <c r="E115" s="552"/>
      <c r="F115" s="552"/>
      <c r="G115" s="553"/>
      <c r="H115" s="557" t="s">
        <v>2</v>
      </c>
      <c r="I115" s="537" t="s">
        <v>37</v>
      </c>
      <c r="J115" s="416"/>
      <c r="K115" s="409" t="s">
        <v>202</v>
      </c>
      <c r="L115" s="533" t="s">
        <v>9</v>
      </c>
    </row>
    <row r="116" spans="1:21" ht="13.8" thickBot="1" x14ac:dyDescent="0.3">
      <c r="A116" s="548"/>
      <c r="B116" s="550"/>
      <c r="C116" s="554"/>
      <c r="D116" s="555"/>
      <c r="E116" s="555"/>
      <c r="F116" s="555"/>
      <c r="G116" s="556"/>
      <c r="H116" s="558"/>
      <c r="I116" s="538"/>
      <c r="J116" s="417"/>
      <c r="K116" s="73"/>
      <c r="L116" s="534"/>
    </row>
    <row r="117" spans="1:21" x14ac:dyDescent="0.25">
      <c r="A117" s="548"/>
      <c r="B117" s="65"/>
      <c r="C117" s="74"/>
      <c r="D117" s="84"/>
      <c r="E117" s="76"/>
      <c r="F117" s="308"/>
      <c r="G117" s="308"/>
      <c r="H117" s="77"/>
      <c r="I117" s="486"/>
      <c r="J117" s="491"/>
      <c r="K117" s="489"/>
      <c r="L117" s="94"/>
    </row>
    <row r="118" spans="1:21" ht="13.8" thickBot="1" x14ac:dyDescent="0.3">
      <c r="A118" s="548"/>
      <c r="B118" s="21"/>
      <c r="C118" s="7"/>
      <c r="D118" s="8"/>
      <c r="E118" s="9"/>
      <c r="F118" s="309"/>
      <c r="G118" s="309"/>
      <c r="H118" s="23"/>
      <c r="I118" s="486"/>
      <c r="J118" s="422"/>
      <c r="K118" s="489"/>
      <c r="L118" s="27"/>
    </row>
    <row r="119" spans="1:21" ht="13.8" thickBot="1" x14ac:dyDescent="0.3">
      <c r="A119" s="43"/>
      <c r="B119" s="2" t="s">
        <v>7</v>
      </c>
      <c r="C119" s="6"/>
      <c r="D119" s="5"/>
      <c r="E119" s="5"/>
      <c r="F119" s="5"/>
      <c r="G119" s="5"/>
      <c r="H119" s="3"/>
      <c r="I119" s="3">
        <f>H117</f>
        <v>0</v>
      </c>
      <c r="J119" s="492"/>
      <c r="K119" s="53"/>
      <c r="L119" s="39"/>
    </row>
    <row r="120" spans="1:21" ht="26.85" customHeight="1" x14ac:dyDescent="0.25">
      <c r="A120" s="548" t="s">
        <v>12</v>
      </c>
      <c r="B120" s="549" t="s">
        <v>0</v>
      </c>
      <c r="C120" s="551" t="s">
        <v>8</v>
      </c>
      <c r="D120" s="552"/>
      <c r="E120" s="552"/>
      <c r="F120" s="552"/>
      <c r="G120" s="553"/>
      <c r="H120" s="557" t="s">
        <v>2</v>
      </c>
      <c r="I120" s="537" t="s">
        <v>37</v>
      </c>
      <c r="J120" s="410"/>
      <c r="K120" s="490" t="s">
        <v>202</v>
      </c>
      <c r="L120" s="535" t="s">
        <v>9</v>
      </c>
    </row>
    <row r="121" spans="1:21" ht="13.8" thickBot="1" x14ac:dyDescent="0.3">
      <c r="A121" s="548"/>
      <c r="B121" s="550"/>
      <c r="C121" s="554"/>
      <c r="D121" s="555"/>
      <c r="E121" s="555"/>
      <c r="F121" s="555"/>
      <c r="G121" s="556"/>
      <c r="H121" s="558"/>
      <c r="I121" s="538"/>
      <c r="J121" s="411"/>
      <c r="K121" s="55"/>
      <c r="L121" s="536"/>
    </row>
    <row r="122" spans="1:21" x14ac:dyDescent="0.25">
      <c r="A122" s="548"/>
      <c r="B122" s="21"/>
      <c r="C122" s="7"/>
      <c r="D122" s="8"/>
      <c r="E122" s="9"/>
      <c r="F122" s="309"/>
      <c r="G122" s="309"/>
      <c r="H122" s="23"/>
      <c r="I122" s="486"/>
      <c r="J122" s="422"/>
      <c r="K122" s="403"/>
      <c r="L122" s="27"/>
    </row>
    <row r="123" spans="1:21" x14ac:dyDescent="0.25">
      <c r="A123" s="548"/>
      <c r="B123" s="21" t="s">
        <v>109</v>
      </c>
      <c r="C123" s="7"/>
      <c r="D123" s="8"/>
      <c r="E123" s="9"/>
      <c r="F123" s="309"/>
      <c r="G123" s="309"/>
      <c r="H123" s="23">
        <f>500+75</f>
        <v>575</v>
      </c>
      <c r="I123" s="487"/>
      <c r="J123" s="423"/>
      <c r="K123" s="403">
        <v>566</v>
      </c>
      <c r="L123" s="27" t="s">
        <v>189</v>
      </c>
    </row>
    <row r="124" spans="1:21" ht="13.8" thickBot="1" x14ac:dyDescent="0.3">
      <c r="A124" s="548"/>
      <c r="B124" s="21" t="s">
        <v>113</v>
      </c>
      <c r="C124" s="7"/>
      <c r="D124" s="8"/>
      <c r="E124" s="9"/>
      <c r="F124" s="300"/>
      <c r="G124" s="300"/>
      <c r="H124" s="68">
        <f>H123*0.0394</f>
        <v>22.654999999999998</v>
      </c>
      <c r="I124" s="486"/>
      <c r="J124" s="488"/>
      <c r="K124" s="404">
        <v>22</v>
      </c>
      <c r="L124" s="27"/>
    </row>
    <row r="125" spans="1:21" ht="15.6" thickBot="1" x14ac:dyDescent="0.3">
      <c r="A125" s="43"/>
      <c r="B125" s="116" t="s">
        <v>13</v>
      </c>
      <c r="C125" s="113"/>
      <c r="D125" s="114"/>
      <c r="E125" s="114"/>
      <c r="F125" s="114"/>
      <c r="G125" s="114"/>
      <c r="H125" s="115"/>
      <c r="I125" s="146">
        <f>SUM(H122:H124)</f>
        <v>597.65499999999997</v>
      </c>
      <c r="J125" s="483"/>
      <c r="K125" s="407">
        <f>SUM(K122:K124)</f>
        <v>588</v>
      </c>
      <c r="L125" s="44"/>
      <c r="M125" s="109"/>
      <c r="N125" s="109"/>
      <c r="O125" s="109"/>
      <c r="P125" s="109"/>
      <c r="Q125" s="109"/>
      <c r="R125" s="109"/>
      <c r="S125" s="109"/>
      <c r="T125" s="109"/>
      <c r="U125" s="109"/>
    </row>
    <row r="126" spans="1:21" ht="16.2" thickBot="1" x14ac:dyDescent="0.35">
      <c r="A126" s="45"/>
      <c r="B126" s="112" t="s">
        <v>3</v>
      </c>
      <c r="C126" s="542"/>
      <c r="D126" s="543"/>
      <c r="E126" s="543"/>
      <c r="F126" s="543"/>
      <c r="G126" s="543"/>
      <c r="H126" s="544"/>
      <c r="I126" s="147">
        <f>SUM(I125+I119+I114+I99+I49)</f>
        <v>263152.0995141475</v>
      </c>
      <c r="J126" s="443"/>
      <c r="K126" s="406">
        <f>K125+K99+K49</f>
        <v>263152</v>
      </c>
      <c r="L126" s="45"/>
      <c r="M126" s="109"/>
      <c r="N126" s="109"/>
      <c r="O126" s="109"/>
      <c r="P126" s="109"/>
      <c r="Q126" s="109"/>
      <c r="R126" s="109"/>
      <c r="S126" s="109"/>
      <c r="T126" s="109"/>
      <c r="U126" s="109"/>
    </row>
    <row r="127" spans="1:21" ht="20.25" customHeight="1" x14ac:dyDescent="0.25">
      <c r="D127" s="80" t="s">
        <v>103</v>
      </c>
      <c r="E127" s="150"/>
      <c r="F127" s="150"/>
      <c r="G127" s="150"/>
      <c r="H127" s="79"/>
      <c r="I127" s="322">
        <v>263152</v>
      </c>
      <c r="J127" s="444"/>
      <c r="M127" s="109"/>
      <c r="N127" s="109"/>
      <c r="O127" s="109"/>
      <c r="P127" s="109"/>
      <c r="Q127" s="109"/>
      <c r="R127" s="109"/>
      <c r="S127" s="109"/>
      <c r="T127" s="109"/>
      <c r="U127" s="109"/>
    </row>
    <row r="128" spans="1:21" ht="15" x14ac:dyDescent="0.25">
      <c r="H128" s="150" t="s">
        <v>104</v>
      </c>
      <c r="I128" s="110">
        <f>I127-I126</f>
        <v>-9.9514147499576211E-2</v>
      </c>
      <c r="J128" s="444"/>
      <c r="L128" s="160"/>
      <c r="M128" s="109"/>
      <c r="N128" s="109"/>
      <c r="O128" s="109"/>
      <c r="P128" s="109"/>
      <c r="Q128" s="109"/>
      <c r="R128" s="109"/>
      <c r="S128" s="109"/>
      <c r="T128" s="109"/>
      <c r="U128" s="109"/>
    </row>
    <row r="129" spans="2:21" ht="15" x14ac:dyDescent="0.25">
      <c r="E129" s="150"/>
      <c r="F129" s="150"/>
      <c r="G129" s="150"/>
      <c r="H129" s="79"/>
      <c r="I129" s="111"/>
      <c r="J129" s="445"/>
      <c r="M129" s="109"/>
      <c r="N129" s="109"/>
      <c r="O129" s="109"/>
      <c r="P129" s="109"/>
      <c r="Q129" s="109"/>
      <c r="R129" s="109"/>
      <c r="S129" s="109"/>
      <c r="T129" s="109"/>
      <c r="U129" s="109"/>
    </row>
    <row r="130" spans="2:21" ht="15.6" x14ac:dyDescent="0.3">
      <c r="B130" s="174" t="s">
        <v>48</v>
      </c>
      <c r="C130" s="175"/>
    </row>
    <row r="131" spans="2:21" ht="13.8" x14ac:dyDescent="0.25">
      <c r="B131" s="231" t="s">
        <v>110</v>
      </c>
      <c r="C131" s="237">
        <f>I58</f>
        <v>177991.20763681948</v>
      </c>
      <c r="G131" s="358" t="s">
        <v>172</v>
      </c>
      <c r="H131" s="358" t="s">
        <v>173</v>
      </c>
      <c r="I131" s="358" t="s">
        <v>71</v>
      </c>
      <c r="J131" s="447"/>
    </row>
    <row r="132" spans="2:21" ht="13.8" x14ac:dyDescent="0.25">
      <c r="B132" s="232" t="s">
        <v>74</v>
      </c>
      <c r="C132" s="238">
        <f>I62</f>
        <v>1080</v>
      </c>
      <c r="G132" s="359" t="s">
        <v>174</v>
      </c>
      <c r="H132" s="360">
        <v>5.3100000000000001E-2</v>
      </c>
      <c r="I132" s="360">
        <v>4.2500000000000003E-2</v>
      </c>
      <c r="J132" s="448"/>
    </row>
    <row r="133" spans="2:21" ht="13.8" x14ac:dyDescent="0.25">
      <c r="B133" s="233" t="s">
        <v>65</v>
      </c>
      <c r="C133" s="238">
        <f>I67</f>
        <v>2390</v>
      </c>
      <c r="G133" s="359" t="s">
        <v>175</v>
      </c>
      <c r="H133" s="360">
        <v>2.1100000000000001E-2</v>
      </c>
      <c r="I133" s="360">
        <v>1.6E-2</v>
      </c>
      <c r="J133" s="448"/>
    </row>
    <row r="134" spans="2:21" ht="13.8" x14ac:dyDescent="0.25">
      <c r="B134" s="231" t="s">
        <v>38</v>
      </c>
      <c r="C134" s="238">
        <f>I72</f>
        <v>4000</v>
      </c>
      <c r="G134" s="359" t="s">
        <v>176</v>
      </c>
      <c r="H134" s="360">
        <v>1.7100000000000001E-2</v>
      </c>
      <c r="I134" s="360">
        <v>1.5100000000000001E-2</v>
      </c>
      <c r="J134" s="448"/>
    </row>
    <row r="135" spans="2:21" ht="13.8" x14ac:dyDescent="0.25">
      <c r="B135" s="231" t="s">
        <v>75</v>
      </c>
      <c r="C135" s="238">
        <f>I78</f>
        <v>44764</v>
      </c>
      <c r="G135" s="359" t="s">
        <v>177</v>
      </c>
      <c r="H135" s="360">
        <v>0</v>
      </c>
      <c r="I135" s="360">
        <v>0</v>
      </c>
      <c r="J135" s="448"/>
    </row>
    <row r="136" spans="2:21" ht="13.8" x14ac:dyDescent="0.25">
      <c r="B136" s="234" t="s">
        <v>73</v>
      </c>
      <c r="C136" s="238">
        <f>I82</f>
        <v>400</v>
      </c>
      <c r="G136" s="361" t="s">
        <v>178</v>
      </c>
      <c r="H136" s="362">
        <f>SUM(H132:H135)</f>
        <v>9.1300000000000006E-2</v>
      </c>
      <c r="I136" s="362">
        <f>SUM(I132:I135)</f>
        <v>7.3599999999999999E-2</v>
      </c>
      <c r="J136" s="449"/>
    </row>
    <row r="137" spans="2:21" ht="13.8" x14ac:dyDescent="0.25">
      <c r="B137" s="231" t="s">
        <v>30</v>
      </c>
      <c r="C137" s="238">
        <f>I94</f>
        <v>7988.25</v>
      </c>
    </row>
    <row r="138" spans="2:21" ht="13.8" x14ac:dyDescent="0.25">
      <c r="B138" s="231" t="s">
        <v>69</v>
      </c>
      <c r="C138" s="237">
        <f>I97</f>
        <v>755.61320000000001</v>
      </c>
    </row>
    <row r="139" spans="2:21" ht="13.8" x14ac:dyDescent="0.25">
      <c r="B139" s="235" t="s">
        <v>111</v>
      </c>
      <c r="C139" s="239">
        <f>SUM(C131:C138)</f>
        <v>239369.07083681948</v>
      </c>
    </row>
    <row r="140" spans="2:21" ht="13.8" x14ac:dyDescent="0.25">
      <c r="B140" s="231"/>
      <c r="C140" s="231"/>
    </row>
    <row r="141" spans="2:21" ht="13.8" x14ac:dyDescent="0.25">
      <c r="B141" s="235" t="s">
        <v>112</v>
      </c>
      <c r="C141" s="239">
        <f>I125</f>
        <v>597.65499999999997</v>
      </c>
    </row>
    <row r="142" spans="2:21" ht="13.8" x14ac:dyDescent="0.25">
      <c r="B142" s="231"/>
      <c r="C142" s="231"/>
    </row>
    <row r="143" spans="2:21" ht="13.8" x14ac:dyDescent="0.25">
      <c r="B143" s="235" t="s">
        <v>71</v>
      </c>
      <c r="C143" s="239">
        <f>+I49</f>
        <v>23185.373677328003</v>
      </c>
    </row>
    <row r="144" spans="2:21" ht="13.8" x14ac:dyDescent="0.25">
      <c r="B144" s="231"/>
      <c r="C144" s="314">
        <f>+C49</f>
        <v>9.686035708904818E-2</v>
      </c>
    </row>
    <row r="145" spans="2:3" ht="13.8" x14ac:dyDescent="0.25">
      <c r="B145" s="231"/>
      <c r="C145" s="231"/>
    </row>
    <row r="146" spans="2:3" ht="13.8" x14ac:dyDescent="0.25">
      <c r="B146" s="236" t="s">
        <v>72</v>
      </c>
      <c r="C146" s="240">
        <f>C139+C141+C143</f>
        <v>263152.0995141475</v>
      </c>
    </row>
    <row r="147" spans="2:3" x14ac:dyDescent="0.25">
      <c r="C147" s="110">
        <f>+C146-I126</f>
        <v>0</v>
      </c>
    </row>
  </sheetData>
  <mergeCells count="30">
    <mergeCell ref="I120:I121"/>
    <mergeCell ref="L120:L121"/>
    <mergeCell ref="I115:I116"/>
    <mergeCell ref="L115:L116"/>
    <mergeCell ref="A50:A51"/>
    <mergeCell ref="A102:A113"/>
    <mergeCell ref="A115:A118"/>
    <mergeCell ref="B115:B116"/>
    <mergeCell ref="B50:B51"/>
    <mergeCell ref="C50:L50"/>
    <mergeCell ref="A52:A99"/>
    <mergeCell ref="A100:A101"/>
    <mergeCell ref="B100:B101"/>
    <mergeCell ref="C100:L100"/>
    <mergeCell ref="C51:G51"/>
    <mergeCell ref="C101:G101"/>
    <mergeCell ref="A1:L1"/>
    <mergeCell ref="A2:B2"/>
    <mergeCell ref="A3:A4"/>
    <mergeCell ref="B3:B4"/>
    <mergeCell ref="C3:L3"/>
    <mergeCell ref="C2:I2"/>
    <mergeCell ref="C4:G4"/>
    <mergeCell ref="C120:G121"/>
    <mergeCell ref="C115:G116"/>
    <mergeCell ref="H115:H116"/>
    <mergeCell ref="C126:H126"/>
    <mergeCell ref="A120:A124"/>
    <mergeCell ref="B120:B121"/>
    <mergeCell ref="H120:H121"/>
  </mergeCells>
  <pageMargins left="0.7" right="0.7" top="0.75" bottom="0.75" header="0.3" footer="0.3"/>
  <pageSetup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workbookViewId="0">
      <selection activeCell="B78" sqref="B78"/>
    </sheetView>
  </sheetViews>
  <sheetFormatPr defaultRowHeight="13.2" x14ac:dyDescent="0.25"/>
  <cols>
    <col min="2" max="2" width="39.44140625" customWidth="1"/>
    <col min="3" max="3" width="11" customWidth="1"/>
    <col min="8" max="8" width="10.44140625" customWidth="1"/>
    <col min="9" max="9" width="16.44140625" customWidth="1"/>
    <col min="10" max="10" width="12.44140625" style="58" customWidth="1"/>
    <col min="11" max="11" width="47.44140625" customWidth="1"/>
    <col min="12" max="12" width="29.44140625" style="102" customWidth="1"/>
    <col min="13" max="13" width="8.5546875" style="102" customWidth="1"/>
    <col min="14" max="20" width="8.5546875" style="102" hidden="1" customWidth="1"/>
    <col min="21" max="22" width="8.5546875" hidden="1" customWidth="1"/>
  </cols>
  <sheetData>
    <row r="1" spans="1:20" ht="21.6" thickBot="1" x14ac:dyDescent="0.3">
      <c r="A1" s="569" t="s">
        <v>220</v>
      </c>
      <c r="B1" s="569"/>
      <c r="C1" s="569"/>
      <c r="D1" s="569"/>
      <c r="E1" s="569"/>
      <c r="F1" s="569"/>
      <c r="G1" s="569"/>
      <c r="H1" s="569"/>
      <c r="I1" s="569"/>
      <c r="J1" s="569"/>
      <c r="K1" s="569"/>
    </row>
    <row r="2" spans="1:20" ht="40.35" customHeight="1" thickBot="1" x14ac:dyDescent="0.3">
      <c r="A2" s="570" t="s">
        <v>44</v>
      </c>
      <c r="B2" s="570"/>
      <c r="C2" s="576" t="s">
        <v>93</v>
      </c>
      <c r="D2" s="577"/>
      <c r="E2" s="577"/>
      <c r="F2" s="577"/>
      <c r="G2" s="577"/>
      <c r="H2" s="577"/>
      <c r="I2" s="578"/>
      <c r="J2" s="214" t="s">
        <v>94</v>
      </c>
      <c r="K2" s="214" t="s">
        <v>95</v>
      </c>
    </row>
    <row r="3" spans="1:20" ht="25.35" customHeight="1" thickBot="1" x14ac:dyDescent="0.3">
      <c r="A3" s="561" t="s">
        <v>1</v>
      </c>
      <c r="B3" s="549" t="s">
        <v>0</v>
      </c>
      <c r="C3" s="563" t="s">
        <v>56</v>
      </c>
      <c r="D3" s="564"/>
      <c r="E3" s="564"/>
      <c r="F3" s="564"/>
      <c r="G3" s="564"/>
      <c r="H3" s="564"/>
      <c r="I3" s="564"/>
      <c r="J3" s="564"/>
      <c r="K3" s="565"/>
      <c r="O3" s="103"/>
      <c r="P3" s="103"/>
      <c r="Q3" s="103"/>
      <c r="R3" s="103"/>
      <c r="S3" s="103"/>
      <c r="T3" s="103"/>
    </row>
    <row r="4" spans="1:20" ht="25.5" customHeight="1" thickBot="1" x14ac:dyDescent="0.3">
      <c r="A4" s="562"/>
      <c r="B4" s="550"/>
      <c r="C4" s="585" t="s">
        <v>8</v>
      </c>
      <c r="D4" s="588"/>
      <c r="E4" s="588"/>
      <c r="F4" s="588"/>
      <c r="G4" s="589"/>
      <c r="H4" s="494" t="s">
        <v>2</v>
      </c>
      <c r="I4" s="12" t="s">
        <v>36</v>
      </c>
      <c r="J4" s="50"/>
      <c r="K4" s="35" t="s">
        <v>9</v>
      </c>
    </row>
    <row r="5" spans="1:20" s="148" customFormat="1" ht="25.5" customHeight="1" x14ac:dyDescent="0.25">
      <c r="A5" s="213"/>
      <c r="B5" s="324"/>
      <c r="C5" s="325"/>
      <c r="D5" s="326"/>
      <c r="E5" s="327"/>
      <c r="F5" s="328"/>
      <c r="G5" s="328"/>
      <c r="H5" s="329"/>
      <c r="I5" s="330"/>
      <c r="J5" s="331"/>
      <c r="K5" s="332"/>
      <c r="N5" s="252"/>
      <c r="O5" s="252"/>
      <c r="P5" s="252"/>
      <c r="Q5" s="252"/>
      <c r="R5" s="252"/>
      <c r="S5" s="253"/>
      <c r="T5" s="253"/>
    </row>
    <row r="6" spans="1:20" s="148" customFormat="1" x14ac:dyDescent="0.25">
      <c r="A6" s="213"/>
      <c r="B6" s="254"/>
      <c r="C6" s="267"/>
      <c r="D6" s="268"/>
      <c r="E6" s="264"/>
      <c r="F6" s="269"/>
      <c r="G6" s="269"/>
      <c r="H6" s="270"/>
      <c r="I6" s="265"/>
      <c r="J6" s="266"/>
      <c r="K6" s="251"/>
      <c r="N6" s="252"/>
      <c r="O6" s="252"/>
      <c r="P6" s="252"/>
      <c r="Q6" s="252"/>
      <c r="R6" s="259"/>
      <c r="S6" s="253"/>
      <c r="T6" s="253"/>
    </row>
    <row r="7" spans="1:20" s="148" customFormat="1" x14ac:dyDescent="0.25">
      <c r="A7" s="213"/>
      <c r="B7" s="254"/>
      <c r="C7" s="262"/>
      <c r="D7" s="263"/>
      <c r="E7" s="264"/>
      <c r="F7" s="258"/>
      <c r="G7" s="258"/>
      <c r="H7" s="248"/>
      <c r="I7" s="265"/>
      <c r="J7" s="266"/>
      <c r="K7" s="251"/>
      <c r="N7" s="279"/>
      <c r="O7" s="279"/>
      <c r="P7" s="279"/>
      <c r="Q7" s="279"/>
      <c r="R7" s="279"/>
      <c r="S7" s="280"/>
      <c r="T7" s="280"/>
    </row>
    <row r="8" spans="1:20" s="148" customFormat="1" x14ac:dyDescent="0.25">
      <c r="A8" s="213"/>
      <c r="B8" s="243"/>
      <c r="C8" s="262"/>
      <c r="D8" s="268"/>
      <c r="E8" s="264"/>
      <c r="F8" s="269"/>
      <c r="G8" s="269"/>
      <c r="H8" s="281"/>
      <c r="I8" s="265"/>
      <c r="J8" s="266"/>
      <c r="K8" s="251"/>
      <c r="N8" s="252"/>
      <c r="O8" s="252"/>
      <c r="P8" s="252"/>
      <c r="Q8" s="252"/>
      <c r="R8" s="252"/>
      <c r="S8" s="253"/>
      <c r="T8" s="253"/>
    </row>
    <row r="9" spans="1:20" s="148" customFormat="1" x14ac:dyDescent="0.25">
      <c r="A9" s="213"/>
      <c r="B9" s="254"/>
      <c r="C9" s="262"/>
      <c r="D9" s="268"/>
      <c r="E9" s="264"/>
      <c r="F9" s="269"/>
      <c r="G9" s="269"/>
      <c r="H9" s="270"/>
      <c r="I9" s="265"/>
      <c r="J9" s="266"/>
      <c r="K9" s="251"/>
      <c r="L9" s="396"/>
      <c r="N9" s="252"/>
      <c r="O9" s="252"/>
      <c r="P9" s="252"/>
      <c r="Q9" s="148">
        <v>9866</v>
      </c>
      <c r="R9" s="102">
        <f>ROUND(Q9,0)</f>
        <v>9866</v>
      </c>
      <c r="S9" s="282" t="e">
        <f>+#REF!</f>
        <v>#REF!</v>
      </c>
      <c r="T9" s="253" t="e">
        <f>+#REF!</f>
        <v>#REF!</v>
      </c>
    </row>
    <row r="10" spans="1:20" s="148" customFormat="1" x14ac:dyDescent="0.25">
      <c r="A10" s="213"/>
      <c r="B10" s="254"/>
      <c r="C10" s="262"/>
      <c r="D10" s="268"/>
      <c r="E10" s="264"/>
      <c r="F10" s="269"/>
      <c r="G10" s="269"/>
      <c r="H10" s="270"/>
      <c r="I10" s="265"/>
      <c r="J10" s="266"/>
      <c r="K10" s="251"/>
      <c r="N10" s="252"/>
      <c r="O10" s="252"/>
      <c r="P10" s="252"/>
      <c r="Q10" s="148">
        <v>84165</v>
      </c>
      <c r="R10" s="102">
        <f t="shared" ref="R10:R12" si="0">ROUND(Q10,0)</f>
        <v>84165</v>
      </c>
      <c r="S10" s="282" t="e">
        <f>+S9</f>
        <v>#REF!</v>
      </c>
      <c r="T10" s="282" t="e">
        <f>+T9</f>
        <v>#REF!</v>
      </c>
    </row>
    <row r="11" spans="1:20" s="148" customFormat="1" x14ac:dyDescent="0.25">
      <c r="A11" s="213"/>
      <c r="B11" s="254"/>
      <c r="C11" s="262"/>
      <c r="D11" s="268"/>
      <c r="E11" s="264"/>
      <c r="F11" s="269"/>
      <c r="G11" s="269"/>
      <c r="H11" s="270"/>
      <c r="I11" s="265"/>
      <c r="J11" s="266"/>
      <c r="K11" s="251"/>
      <c r="N11" s="252"/>
      <c r="O11" s="252"/>
      <c r="P11" s="252"/>
      <c r="Q11" s="148">
        <v>6647</v>
      </c>
      <c r="R11" s="102">
        <f t="shared" si="0"/>
        <v>6647</v>
      </c>
      <c r="S11" s="282" t="e">
        <f t="shared" ref="S11:T12" si="1">+S10</f>
        <v>#REF!</v>
      </c>
      <c r="T11" s="282" t="e">
        <f t="shared" si="1"/>
        <v>#REF!</v>
      </c>
    </row>
    <row r="12" spans="1:20" s="148" customFormat="1" ht="13.8" thickBot="1" x14ac:dyDescent="0.3">
      <c r="A12" s="213"/>
      <c r="B12" s="254"/>
      <c r="C12" s="262"/>
      <c r="D12" s="268"/>
      <c r="E12" s="264"/>
      <c r="F12" s="269"/>
      <c r="G12" s="269"/>
      <c r="H12" s="270"/>
      <c r="I12" s="265"/>
      <c r="J12" s="266"/>
      <c r="K12" s="251"/>
      <c r="N12" s="252"/>
      <c r="O12" s="252"/>
      <c r="P12" s="252"/>
      <c r="Q12" s="148">
        <v>7939</v>
      </c>
      <c r="R12" s="102">
        <f t="shared" si="0"/>
        <v>7939</v>
      </c>
      <c r="S12" s="282" t="e">
        <f t="shared" si="1"/>
        <v>#REF!</v>
      </c>
      <c r="T12" s="282" t="e">
        <f t="shared" si="1"/>
        <v>#REF!</v>
      </c>
    </row>
    <row r="13" spans="1:20" ht="13.8" thickBot="1" x14ac:dyDescent="0.3">
      <c r="A13" s="561" t="s">
        <v>1</v>
      </c>
      <c r="B13" s="571" t="s">
        <v>0</v>
      </c>
      <c r="C13" s="572"/>
      <c r="D13" s="573"/>
      <c r="E13" s="573"/>
      <c r="F13" s="573"/>
      <c r="G13" s="573"/>
      <c r="H13" s="573"/>
      <c r="I13" s="573"/>
      <c r="J13" s="573"/>
      <c r="K13" s="574"/>
      <c r="L13" s="105"/>
      <c r="M13" s="105"/>
      <c r="N13" s="106"/>
      <c r="O13" s="106"/>
      <c r="P13" s="106"/>
      <c r="Q13" s="106"/>
      <c r="R13" s="106"/>
      <c r="S13" s="106"/>
      <c r="T13" s="106"/>
    </row>
    <row r="14" spans="1:20" ht="25.5" customHeight="1" thickBot="1" x14ac:dyDescent="0.3">
      <c r="A14" s="562"/>
      <c r="B14" s="550"/>
      <c r="C14" s="585" t="s">
        <v>8</v>
      </c>
      <c r="D14" s="588"/>
      <c r="E14" s="588"/>
      <c r="F14" s="588"/>
      <c r="G14" s="589"/>
      <c r="H14" s="494" t="s">
        <v>2</v>
      </c>
      <c r="I14" s="12" t="s">
        <v>37</v>
      </c>
      <c r="J14" s="50" t="s">
        <v>17</v>
      </c>
      <c r="K14" s="35" t="s">
        <v>9</v>
      </c>
      <c r="N14" s="104"/>
      <c r="O14" s="104"/>
      <c r="P14" s="104"/>
      <c r="Q14" s="104"/>
      <c r="R14" s="104"/>
      <c r="S14" s="104"/>
      <c r="T14" s="104"/>
    </row>
    <row r="15" spans="1:20" x14ac:dyDescent="0.25">
      <c r="A15" s="560"/>
      <c r="B15" s="21"/>
      <c r="C15" s="47"/>
      <c r="D15" s="96"/>
      <c r="E15" s="93"/>
      <c r="F15" s="298"/>
      <c r="G15" s="298"/>
      <c r="H15" s="121"/>
      <c r="I15" s="122"/>
      <c r="J15" s="508"/>
      <c r="K15" s="97"/>
    </row>
    <row r="16" spans="1:20" x14ac:dyDescent="0.25">
      <c r="A16" s="560"/>
      <c r="B16" s="21"/>
      <c r="C16" s="47"/>
      <c r="D16" s="96"/>
      <c r="E16" s="93"/>
      <c r="F16" s="298"/>
      <c r="G16" s="298"/>
      <c r="H16" s="121"/>
      <c r="I16" s="122"/>
      <c r="J16" s="508"/>
      <c r="K16" s="97"/>
    </row>
    <row r="17" spans="1:15" x14ac:dyDescent="0.25">
      <c r="A17" s="560"/>
      <c r="B17" s="21"/>
      <c r="C17" s="192"/>
      <c r="D17" s="193"/>
      <c r="E17" s="194"/>
      <c r="F17" s="343"/>
      <c r="G17" s="343"/>
      <c r="H17" s="125"/>
      <c r="I17" s="126"/>
      <c r="J17" s="502"/>
      <c r="K17" s="48"/>
    </row>
    <row r="18" spans="1:15" x14ac:dyDescent="0.25">
      <c r="A18" s="560"/>
      <c r="B18" s="21"/>
      <c r="C18" s="192"/>
      <c r="D18" s="193"/>
      <c r="E18" s="194"/>
      <c r="F18" s="343"/>
      <c r="G18" s="343"/>
      <c r="H18" s="128"/>
      <c r="I18" s="126"/>
      <c r="J18" s="502"/>
      <c r="K18" s="48"/>
    </row>
    <row r="19" spans="1:15" x14ac:dyDescent="0.25">
      <c r="A19" s="560"/>
      <c r="B19" s="46" t="s">
        <v>25</v>
      </c>
      <c r="C19" s="192"/>
      <c r="D19" s="193"/>
      <c r="E19" s="194"/>
      <c r="F19" s="343"/>
      <c r="G19" s="343"/>
      <c r="H19" s="128"/>
      <c r="I19" s="126"/>
      <c r="J19" s="502"/>
      <c r="K19" s="48"/>
    </row>
    <row r="20" spans="1:15" x14ac:dyDescent="0.25">
      <c r="A20" s="560"/>
      <c r="B20" s="71" t="s">
        <v>213</v>
      </c>
      <c r="C20" s="192"/>
      <c r="D20" s="193"/>
      <c r="E20" s="194"/>
      <c r="F20" s="343"/>
      <c r="G20" s="343"/>
      <c r="H20" s="128"/>
      <c r="I20" s="126"/>
      <c r="J20" s="502"/>
      <c r="K20" s="48"/>
    </row>
    <row r="21" spans="1:15" ht="79.2" x14ac:dyDescent="0.25">
      <c r="A21" s="560"/>
      <c r="B21" s="65" t="s">
        <v>221</v>
      </c>
      <c r="C21" s="192">
        <v>25</v>
      </c>
      <c r="D21" s="193">
        <v>532</v>
      </c>
      <c r="E21" s="194"/>
      <c r="F21" s="343"/>
      <c r="G21" s="343"/>
      <c r="H21" s="125">
        <f>C21*D21</f>
        <v>13300</v>
      </c>
      <c r="I21" s="126"/>
      <c r="J21" s="502"/>
      <c r="K21" s="48" t="s">
        <v>222</v>
      </c>
    </row>
    <row r="22" spans="1:15" ht="39.6" x14ac:dyDescent="0.25">
      <c r="A22" s="560"/>
      <c r="B22" s="65" t="s">
        <v>223</v>
      </c>
      <c r="C22" s="47">
        <v>25</v>
      </c>
      <c r="D22" s="18">
        <v>532</v>
      </c>
      <c r="E22" s="18"/>
      <c r="F22" s="300"/>
      <c r="G22" s="300"/>
      <c r="H22" s="125">
        <f>C22*D22</f>
        <v>13300</v>
      </c>
      <c r="I22" s="126"/>
      <c r="J22" s="502">
        <v>34324</v>
      </c>
      <c r="K22" s="48" t="s">
        <v>224</v>
      </c>
      <c r="L22" s="105"/>
    </row>
    <row r="23" spans="1:15" x14ac:dyDescent="0.25">
      <c r="A23" s="560"/>
      <c r="B23" s="65" t="s">
        <v>216</v>
      </c>
      <c r="C23" s="47"/>
      <c r="D23" s="18"/>
      <c r="E23" s="18"/>
      <c r="F23" s="300"/>
      <c r="G23" s="300"/>
      <c r="H23" s="125">
        <f>( H22+H21)*0.14</f>
        <v>3724.0000000000005</v>
      </c>
      <c r="I23" s="126"/>
      <c r="J23" s="502"/>
      <c r="K23" s="48" t="s">
        <v>225</v>
      </c>
      <c r="L23" s="105"/>
    </row>
    <row r="24" spans="1:15" ht="26.4" x14ac:dyDescent="0.25">
      <c r="A24" s="560"/>
      <c r="B24" s="65" t="s">
        <v>218</v>
      </c>
      <c r="C24" s="66"/>
      <c r="D24" s="87"/>
      <c r="E24" s="88"/>
      <c r="F24" s="303"/>
      <c r="G24" s="303"/>
      <c r="H24" s="125">
        <v>4000</v>
      </c>
      <c r="I24" s="130"/>
      <c r="J24" s="131"/>
      <c r="K24" s="85" t="s">
        <v>226</v>
      </c>
    </row>
    <row r="25" spans="1:15" ht="13.8" x14ac:dyDescent="0.25">
      <c r="A25" s="560"/>
      <c r="B25" s="21"/>
      <c r="C25" s="47"/>
      <c r="D25" s="18"/>
      <c r="E25" s="19"/>
      <c r="F25" s="300"/>
      <c r="G25" s="300"/>
      <c r="H25" s="125" t="s">
        <v>27</v>
      </c>
      <c r="I25" s="126">
        <f>SUM(H21:H24)</f>
        <v>34324</v>
      </c>
      <c r="J25" s="502"/>
      <c r="K25" s="37"/>
      <c r="M25" s="107"/>
    </row>
    <row r="26" spans="1:15" ht="13.8" x14ac:dyDescent="0.25">
      <c r="A26" s="560"/>
      <c r="B26" s="21"/>
      <c r="C26" s="47"/>
      <c r="D26" s="18"/>
      <c r="E26" s="19"/>
      <c r="F26" s="300"/>
      <c r="G26" s="300"/>
      <c r="H26" s="125"/>
      <c r="I26" s="126"/>
      <c r="J26" s="502"/>
      <c r="K26" s="37"/>
      <c r="M26" s="148"/>
      <c r="N26" s="108"/>
      <c r="O26" s="108"/>
    </row>
    <row r="27" spans="1:15" x14ac:dyDescent="0.25">
      <c r="A27" s="560"/>
      <c r="B27" s="21"/>
      <c r="C27" s="47"/>
      <c r="D27" s="18"/>
      <c r="E27" s="19"/>
      <c r="F27" s="300"/>
      <c r="G27" s="300"/>
      <c r="H27" s="128"/>
      <c r="I27" s="126"/>
      <c r="J27" s="502"/>
      <c r="K27" s="37"/>
    </row>
    <row r="28" spans="1:15" x14ac:dyDescent="0.25">
      <c r="A28" s="560"/>
      <c r="B28" s="61"/>
      <c r="C28" s="62"/>
      <c r="D28" s="83"/>
      <c r="E28" s="64"/>
      <c r="F28" s="299"/>
      <c r="G28" s="299"/>
      <c r="H28" s="123"/>
      <c r="I28" s="124"/>
      <c r="J28" s="131"/>
      <c r="K28" s="82"/>
    </row>
    <row r="29" spans="1:15" x14ac:dyDescent="0.25">
      <c r="A29" s="560"/>
      <c r="B29" s="149"/>
      <c r="C29" s="47"/>
      <c r="D29" s="69"/>
      <c r="E29" s="19"/>
      <c r="F29" s="300"/>
      <c r="G29" s="300"/>
      <c r="H29" s="125"/>
      <c r="I29" s="126"/>
      <c r="J29" s="502"/>
      <c r="K29" s="37"/>
    </row>
    <row r="30" spans="1:15" x14ac:dyDescent="0.25">
      <c r="A30" s="560"/>
      <c r="B30" s="21"/>
      <c r="C30" s="47"/>
      <c r="D30" s="18"/>
      <c r="E30" s="19"/>
      <c r="F30" s="300"/>
      <c r="G30" s="300"/>
      <c r="H30" s="128"/>
      <c r="I30" s="126"/>
      <c r="J30" s="502"/>
      <c r="K30" s="37"/>
    </row>
    <row r="31" spans="1:15" x14ac:dyDescent="0.25">
      <c r="A31" s="560"/>
      <c r="B31" s="90"/>
      <c r="C31" s="91"/>
      <c r="D31" s="509"/>
      <c r="E31" s="93"/>
      <c r="F31" s="300"/>
      <c r="G31" s="300"/>
      <c r="H31" s="125"/>
      <c r="I31" s="126"/>
      <c r="J31" s="502"/>
      <c r="K31" s="37"/>
    </row>
    <row r="32" spans="1:15" x14ac:dyDescent="0.25">
      <c r="A32" s="560"/>
      <c r="B32" s="21"/>
      <c r="C32" s="47"/>
      <c r="D32" s="18"/>
      <c r="E32" s="19"/>
      <c r="F32" s="300"/>
      <c r="G32" s="300"/>
      <c r="H32" s="125"/>
      <c r="I32" s="135"/>
      <c r="J32" s="502"/>
      <c r="K32" s="37"/>
    </row>
    <row r="33" spans="1:11" ht="13.8" thickBot="1" x14ac:dyDescent="0.3">
      <c r="A33" s="560"/>
      <c r="B33" s="28"/>
      <c r="C33" s="7"/>
      <c r="D33" s="8"/>
      <c r="E33" s="9"/>
      <c r="F33" s="300"/>
      <c r="G33" s="300"/>
      <c r="H33" s="134"/>
      <c r="I33" s="136"/>
      <c r="J33" s="503"/>
      <c r="K33" s="189"/>
    </row>
    <row r="34" spans="1:11" ht="13.8" thickBot="1" x14ac:dyDescent="0.3">
      <c r="A34" s="575"/>
      <c r="B34" s="2" t="s">
        <v>4</v>
      </c>
      <c r="C34" s="6"/>
      <c r="D34" s="5"/>
      <c r="E34" s="5"/>
      <c r="F34" s="5"/>
      <c r="G34" s="5"/>
      <c r="H34" s="137"/>
      <c r="I34" s="137">
        <f>SUM(I15:I33)</f>
        <v>34324</v>
      </c>
      <c r="J34" s="53"/>
      <c r="K34" s="38"/>
    </row>
    <row r="35" spans="1:11" ht="14.1" customHeight="1" thickBot="1" x14ac:dyDescent="0.3">
      <c r="A35" s="561" t="s">
        <v>1</v>
      </c>
      <c r="B35" s="549" t="s">
        <v>0</v>
      </c>
      <c r="C35" s="563" t="s">
        <v>55</v>
      </c>
      <c r="D35" s="564"/>
      <c r="E35" s="564"/>
      <c r="F35" s="564"/>
      <c r="G35" s="564"/>
      <c r="H35" s="564"/>
      <c r="I35" s="564"/>
      <c r="J35" s="564"/>
      <c r="K35" s="565"/>
    </row>
    <row r="36" spans="1:11" ht="25.5" customHeight="1" thickBot="1" x14ac:dyDescent="0.3">
      <c r="A36" s="562"/>
      <c r="B36" s="550"/>
      <c r="C36" s="585" t="s">
        <v>8</v>
      </c>
      <c r="D36" s="588"/>
      <c r="E36" s="588"/>
      <c r="F36" s="588"/>
      <c r="G36" s="589"/>
      <c r="H36" s="494" t="s">
        <v>2</v>
      </c>
      <c r="I36" s="12" t="s">
        <v>37</v>
      </c>
      <c r="J36" s="50" t="s">
        <v>17</v>
      </c>
      <c r="K36" s="35" t="s">
        <v>9</v>
      </c>
    </row>
    <row r="37" spans="1:11" ht="13.35" hidden="1" customHeight="1" x14ac:dyDescent="0.25">
      <c r="A37" s="559" t="s">
        <v>5</v>
      </c>
      <c r="B37" s="21"/>
      <c r="C37" s="17"/>
      <c r="D37" s="42"/>
      <c r="E37" s="42"/>
      <c r="F37" s="297"/>
      <c r="G37" s="297"/>
      <c r="H37" s="4"/>
      <c r="I37" s="24"/>
      <c r="J37" s="52"/>
      <c r="K37" s="36"/>
    </row>
    <row r="38" spans="1:11" ht="13.35" hidden="1" customHeight="1" x14ac:dyDescent="0.25">
      <c r="A38" s="560"/>
      <c r="B38" s="21"/>
      <c r="C38" s="17"/>
      <c r="D38" s="40"/>
      <c r="E38" s="20"/>
      <c r="F38" s="297"/>
      <c r="G38" s="297"/>
      <c r="H38" s="4"/>
      <c r="I38" s="24"/>
      <c r="J38" s="52"/>
      <c r="K38" s="36"/>
    </row>
    <row r="39" spans="1:11" ht="13.35" hidden="1" customHeight="1" x14ac:dyDescent="0.25">
      <c r="A39" s="560"/>
      <c r="B39" s="21"/>
      <c r="C39" s="7"/>
      <c r="D39" s="11"/>
      <c r="E39" s="20"/>
      <c r="F39" s="297"/>
      <c r="G39" s="297"/>
      <c r="H39" s="4"/>
      <c r="I39" s="24"/>
      <c r="J39" s="52"/>
      <c r="K39" s="36"/>
    </row>
    <row r="40" spans="1:11" ht="13.35" hidden="1" customHeight="1" x14ac:dyDescent="0.25">
      <c r="A40" s="560"/>
      <c r="B40" s="10"/>
      <c r="C40" s="7"/>
      <c r="D40" s="22"/>
      <c r="E40" s="8"/>
      <c r="F40" s="305"/>
      <c r="G40" s="305"/>
      <c r="H40" s="4"/>
      <c r="I40" s="24"/>
      <c r="J40" s="52"/>
      <c r="K40" s="36"/>
    </row>
    <row r="41" spans="1:11" ht="13.35" hidden="1" customHeight="1" x14ac:dyDescent="0.25">
      <c r="A41" s="560"/>
      <c r="B41" s="10"/>
      <c r="C41" s="7"/>
      <c r="D41" s="22"/>
      <c r="E41" s="8"/>
      <c r="F41" s="305"/>
      <c r="G41" s="305"/>
      <c r="H41" s="4"/>
      <c r="I41" s="24"/>
      <c r="J41" s="52"/>
      <c r="K41" s="36"/>
    </row>
    <row r="42" spans="1:11" ht="13.35" hidden="1" customHeight="1" x14ac:dyDescent="0.25">
      <c r="A42" s="560"/>
      <c r="B42" s="10"/>
      <c r="C42" s="7"/>
      <c r="D42" s="11"/>
      <c r="E42" s="11"/>
      <c r="F42" s="297"/>
      <c r="G42" s="297"/>
      <c r="H42" s="4"/>
      <c r="I42" s="24"/>
      <c r="J42" s="52"/>
      <c r="K42" s="36"/>
    </row>
    <row r="43" spans="1:11" ht="13.35" hidden="1" customHeight="1" x14ac:dyDescent="0.25">
      <c r="A43" s="560"/>
      <c r="B43" s="32"/>
      <c r="C43" s="29"/>
      <c r="D43" s="41"/>
      <c r="E43" s="31"/>
      <c r="F43" s="306"/>
      <c r="G43" s="306"/>
      <c r="H43" s="33"/>
      <c r="I43" s="34"/>
      <c r="J43" s="54"/>
      <c r="K43" s="36"/>
    </row>
    <row r="44" spans="1:11" ht="13.35" hidden="1" customHeight="1" x14ac:dyDescent="0.25">
      <c r="A44" s="560"/>
      <c r="B44" s="32"/>
      <c r="C44" s="29"/>
      <c r="D44" s="30"/>
      <c r="E44" s="31"/>
      <c r="F44" s="306"/>
      <c r="G44" s="306"/>
      <c r="H44" s="33"/>
      <c r="I44" s="34"/>
      <c r="J44" s="54"/>
      <c r="K44" s="36"/>
    </row>
    <row r="45" spans="1:11" ht="13.35" hidden="1" customHeight="1" x14ac:dyDescent="0.25">
      <c r="A45" s="560"/>
      <c r="B45" s="32"/>
      <c r="C45" s="29"/>
      <c r="D45" s="30"/>
      <c r="E45" s="31"/>
      <c r="F45" s="306"/>
      <c r="G45" s="306"/>
      <c r="H45" s="33"/>
      <c r="I45" s="34"/>
      <c r="J45" s="54"/>
      <c r="K45" s="36"/>
    </row>
    <row r="46" spans="1:11" ht="13.35" hidden="1" customHeight="1" x14ac:dyDescent="0.25">
      <c r="A46" s="560"/>
      <c r="B46" s="10"/>
      <c r="C46" s="7"/>
      <c r="D46" s="8"/>
      <c r="E46" s="9"/>
      <c r="F46" s="300"/>
      <c r="G46" s="300"/>
      <c r="H46" s="4"/>
      <c r="I46" s="24"/>
      <c r="J46" s="52"/>
      <c r="K46" s="36"/>
    </row>
    <row r="47" spans="1:11" ht="13.35" hidden="1" customHeight="1" x14ac:dyDescent="0.25">
      <c r="A47" s="560"/>
      <c r="B47" s="13"/>
      <c r="C47" s="14"/>
      <c r="D47" s="15"/>
      <c r="E47" s="16"/>
      <c r="F47" s="307"/>
      <c r="G47" s="307"/>
      <c r="H47" s="4"/>
      <c r="I47" s="24"/>
      <c r="J47" s="52"/>
      <c r="K47" s="36"/>
    </row>
    <row r="48" spans="1:11" ht="13.8" thickBot="1" x14ac:dyDescent="0.3">
      <c r="A48" s="560"/>
      <c r="B48" s="1"/>
      <c r="C48" s="7"/>
      <c r="D48" s="8"/>
      <c r="E48" s="9"/>
      <c r="F48" s="300"/>
      <c r="G48" s="300"/>
      <c r="H48" s="4"/>
      <c r="I48" s="25"/>
      <c r="J48" s="51"/>
      <c r="K48" s="36"/>
    </row>
    <row r="49" spans="1:20" ht="13.8" thickBot="1" x14ac:dyDescent="0.3">
      <c r="A49" s="43"/>
      <c r="B49" s="2" t="s">
        <v>6</v>
      </c>
      <c r="C49" s="6"/>
      <c r="D49" s="5"/>
      <c r="E49" s="5"/>
      <c r="F49" s="5"/>
      <c r="G49" s="5"/>
      <c r="H49" s="3">
        <f>SUM(H48:H48)</f>
        <v>0</v>
      </c>
      <c r="I49" s="26"/>
      <c r="J49" s="57"/>
      <c r="K49" s="38"/>
    </row>
    <row r="50" spans="1:20" ht="26.85" customHeight="1" x14ac:dyDescent="0.25">
      <c r="A50" s="548" t="s">
        <v>11</v>
      </c>
      <c r="B50" s="549" t="s">
        <v>0</v>
      </c>
      <c r="C50" s="579" t="s">
        <v>8</v>
      </c>
      <c r="D50" s="580"/>
      <c r="E50" s="580"/>
      <c r="F50" s="580"/>
      <c r="G50" s="533"/>
      <c r="H50" s="583" t="s">
        <v>2</v>
      </c>
      <c r="I50" s="537" t="s">
        <v>37</v>
      </c>
      <c r="J50" s="72" t="s">
        <v>17</v>
      </c>
      <c r="K50" s="533" t="s">
        <v>9</v>
      </c>
    </row>
    <row r="51" spans="1:20" ht="13.8" thickBot="1" x14ac:dyDescent="0.3">
      <c r="A51" s="548"/>
      <c r="B51" s="550"/>
      <c r="C51" s="581"/>
      <c r="D51" s="582"/>
      <c r="E51" s="582"/>
      <c r="F51" s="582"/>
      <c r="G51" s="534"/>
      <c r="H51" s="584"/>
      <c r="I51" s="538"/>
      <c r="J51" s="73"/>
      <c r="K51" s="534"/>
    </row>
    <row r="52" spans="1:20" x14ac:dyDescent="0.25">
      <c r="A52" s="548"/>
      <c r="B52" s="65"/>
      <c r="C52" s="74"/>
      <c r="D52" s="84"/>
      <c r="E52" s="76"/>
      <c r="F52" s="308"/>
      <c r="G52" s="308"/>
      <c r="H52" s="77"/>
      <c r="I52" s="27"/>
      <c r="J52" s="56"/>
      <c r="K52" s="94"/>
    </row>
    <row r="53" spans="1:20" ht="13.8" thickBot="1" x14ac:dyDescent="0.3">
      <c r="A53" s="548"/>
      <c r="B53" s="21"/>
      <c r="C53" s="7"/>
      <c r="D53" s="8"/>
      <c r="E53" s="9"/>
      <c r="F53" s="309"/>
      <c r="G53" s="309"/>
      <c r="H53" s="23"/>
      <c r="I53" s="27"/>
      <c r="J53" s="56"/>
      <c r="K53" s="27"/>
    </row>
    <row r="54" spans="1:20" ht="13.8" thickBot="1" x14ac:dyDescent="0.3">
      <c r="A54" s="43"/>
      <c r="B54" s="2" t="s">
        <v>7</v>
      </c>
      <c r="C54" s="6"/>
      <c r="D54" s="5"/>
      <c r="E54" s="5"/>
      <c r="F54" s="5"/>
      <c r="G54" s="5"/>
      <c r="H54" s="3"/>
      <c r="I54" s="3">
        <f>H52</f>
        <v>0</v>
      </c>
      <c r="J54" s="53"/>
      <c r="K54" s="39"/>
    </row>
    <row r="55" spans="1:20" ht="26.85" customHeight="1" x14ac:dyDescent="0.25">
      <c r="A55" s="548" t="s">
        <v>12</v>
      </c>
      <c r="B55" s="549" t="s">
        <v>0</v>
      </c>
      <c r="C55" s="579" t="s">
        <v>8</v>
      </c>
      <c r="D55" s="580"/>
      <c r="E55" s="580"/>
      <c r="F55" s="580"/>
      <c r="G55" s="533"/>
      <c r="H55" s="583" t="s">
        <v>2</v>
      </c>
      <c r="I55" s="537" t="s">
        <v>37</v>
      </c>
      <c r="J55" s="72" t="s">
        <v>17</v>
      </c>
      <c r="K55" s="535" t="s">
        <v>9</v>
      </c>
    </row>
    <row r="56" spans="1:20" ht="25.5" customHeight="1" thickBot="1" x14ac:dyDescent="0.3">
      <c r="A56" s="548"/>
      <c r="B56" s="550"/>
      <c r="C56" s="581"/>
      <c r="D56" s="582"/>
      <c r="E56" s="582"/>
      <c r="F56" s="582"/>
      <c r="G56" s="534"/>
      <c r="H56" s="584"/>
      <c r="I56" s="538"/>
      <c r="J56" s="55"/>
      <c r="K56" s="536"/>
    </row>
    <row r="57" spans="1:20" x14ac:dyDescent="0.25">
      <c r="A57" s="548"/>
      <c r="B57" s="21"/>
      <c r="C57" s="7"/>
      <c r="D57" s="8"/>
      <c r="E57" s="9"/>
      <c r="F57" s="309"/>
      <c r="G57" s="309"/>
      <c r="H57" s="23"/>
      <c r="I57" s="27"/>
      <c r="J57" s="56"/>
      <c r="K57" s="27"/>
    </row>
    <row r="58" spans="1:20" x14ac:dyDescent="0.25">
      <c r="A58" s="548"/>
      <c r="B58" s="21"/>
      <c r="C58" s="7"/>
      <c r="D58" s="8"/>
      <c r="E58" s="9"/>
      <c r="F58" s="309"/>
      <c r="G58" s="309"/>
      <c r="H58" s="23"/>
      <c r="I58" s="78"/>
      <c r="J58" s="506"/>
      <c r="K58" s="27"/>
    </row>
    <row r="59" spans="1:20" ht="13.8" thickBot="1" x14ac:dyDescent="0.3">
      <c r="A59" s="548"/>
      <c r="B59" s="21"/>
      <c r="C59" s="7"/>
      <c r="D59" s="8"/>
      <c r="E59" s="9"/>
      <c r="F59" s="300"/>
      <c r="G59" s="300"/>
      <c r="H59" s="68"/>
      <c r="I59" s="27"/>
      <c r="J59" s="506"/>
      <c r="K59" s="27"/>
    </row>
    <row r="60" spans="1:20" ht="15.6" thickBot="1" x14ac:dyDescent="0.3">
      <c r="A60" s="43"/>
      <c r="B60" s="116" t="s">
        <v>13</v>
      </c>
      <c r="C60" s="113"/>
      <c r="D60" s="114"/>
      <c r="E60" s="114"/>
      <c r="F60" s="114"/>
      <c r="G60" s="114"/>
      <c r="H60" s="115"/>
      <c r="I60" s="146">
        <f>SUM(H57:H59)</f>
        <v>0</v>
      </c>
      <c r="J60" s="57"/>
      <c r="K60" s="44"/>
      <c r="L60" s="109"/>
      <c r="M60" s="109"/>
      <c r="N60" s="109"/>
      <c r="O60" s="109"/>
      <c r="P60" s="109"/>
      <c r="Q60" s="109"/>
      <c r="R60" s="109"/>
      <c r="S60" s="109"/>
      <c r="T60" s="109"/>
    </row>
    <row r="61" spans="1:20" ht="16.2" thickBot="1" x14ac:dyDescent="0.35">
      <c r="A61" s="45"/>
      <c r="B61" s="112" t="s">
        <v>3</v>
      </c>
      <c r="C61" s="542"/>
      <c r="D61" s="543"/>
      <c r="E61" s="543"/>
      <c r="F61" s="543"/>
      <c r="G61" s="543"/>
      <c r="H61" s="544"/>
      <c r="I61" s="147">
        <f>SUM(I60+I54+I49+I34)</f>
        <v>34324</v>
      </c>
      <c r="J61" s="507"/>
      <c r="K61" s="45"/>
      <c r="L61" s="109"/>
      <c r="M61" s="109"/>
      <c r="N61" s="109"/>
      <c r="O61" s="109"/>
      <c r="P61" s="109"/>
      <c r="Q61" s="109"/>
      <c r="R61" s="109"/>
      <c r="S61" s="109"/>
      <c r="T61" s="109"/>
    </row>
  </sheetData>
  <mergeCells count="30">
    <mergeCell ref="A35:A36"/>
    <mergeCell ref="B35:B36"/>
    <mergeCell ref="C35:K35"/>
    <mergeCell ref="C36:G36"/>
    <mergeCell ref="A1:K1"/>
    <mergeCell ref="A2:B2"/>
    <mergeCell ref="C2:I2"/>
    <mergeCell ref="A3:A4"/>
    <mergeCell ref="B3:B4"/>
    <mergeCell ref="C3:K3"/>
    <mergeCell ref="C4:G4"/>
    <mergeCell ref="A13:A14"/>
    <mergeCell ref="B13:B14"/>
    <mergeCell ref="C13:K13"/>
    <mergeCell ref="C14:G14"/>
    <mergeCell ref="A15:A34"/>
    <mergeCell ref="A37:A48"/>
    <mergeCell ref="A50:A53"/>
    <mergeCell ref="B50:B51"/>
    <mergeCell ref="C50:G51"/>
    <mergeCell ref="H50:H51"/>
    <mergeCell ref="C61:H61"/>
    <mergeCell ref="K50:K51"/>
    <mergeCell ref="A55:A59"/>
    <mergeCell ref="B55:B56"/>
    <mergeCell ref="C55:G56"/>
    <mergeCell ref="H55:H56"/>
    <mergeCell ref="I55:I56"/>
    <mergeCell ref="K55:K56"/>
    <mergeCell ref="I50:I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V121"/>
  <sheetViews>
    <sheetView tabSelected="1" zoomScale="90" zoomScaleNormal="90" workbookViewId="0">
      <pane xSplit="2" ySplit="13" topLeftCell="C14" activePane="bottomRight" state="frozen"/>
      <selection pane="topRight" activeCell="C1" sqref="C1"/>
      <selection pane="bottomLeft" activeCell="A7" sqref="A7"/>
      <selection pane="bottomRight" activeCell="K19" sqref="K19"/>
    </sheetView>
  </sheetViews>
  <sheetFormatPr defaultRowHeight="13.2" x14ac:dyDescent="0.25"/>
  <cols>
    <col min="2" max="2" width="41.44140625" customWidth="1"/>
    <col min="8" max="8" width="13.44140625" customWidth="1"/>
    <col min="9" max="9" width="16.44140625" customWidth="1"/>
    <col min="10" max="10" width="16.44140625" style="446" customWidth="1"/>
    <col min="11" max="11" width="47.44140625" customWidth="1"/>
    <col min="12" max="12" width="16.44140625" style="102" customWidth="1"/>
    <col min="13" max="13" width="8.5546875" style="102" customWidth="1"/>
    <col min="14" max="14" width="14.44140625" style="102" hidden="1" customWidth="1"/>
    <col min="15" max="20" width="8.5546875" style="102" hidden="1" customWidth="1"/>
    <col min="21" max="22" width="8.5546875" hidden="1" customWidth="1"/>
  </cols>
  <sheetData>
    <row r="1" spans="1:20" ht="13.8" thickBot="1" x14ac:dyDescent="0.3">
      <c r="J1" s="513"/>
    </row>
    <row r="2" spans="1:20" ht="21.6" thickBot="1" x14ac:dyDescent="0.3">
      <c r="A2" s="569" t="s">
        <v>232</v>
      </c>
      <c r="B2" s="569"/>
      <c r="C2" s="569"/>
      <c r="D2" s="569"/>
      <c r="E2" s="569"/>
      <c r="F2" s="569"/>
      <c r="G2" s="569"/>
      <c r="H2" s="569"/>
      <c r="I2" s="569"/>
      <c r="J2" s="569"/>
      <c r="K2" s="569"/>
    </row>
    <row r="3" spans="1:20" ht="16.2" thickBot="1" x14ac:dyDescent="0.3">
      <c r="A3" s="570" t="s">
        <v>44</v>
      </c>
      <c r="B3" s="570"/>
      <c r="C3" s="576"/>
      <c r="D3" s="577"/>
      <c r="E3" s="577"/>
      <c r="F3" s="577"/>
      <c r="G3" s="577"/>
      <c r="H3" s="577"/>
      <c r="I3" s="578"/>
      <c r="J3" s="214" t="s">
        <v>94</v>
      </c>
      <c r="K3" s="214"/>
      <c r="L3" s="148"/>
    </row>
    <row r="4" spans="1:20" ht="25.35" customHeight="1" thickBot="1" x14ac:dyDescent="0.3">
      <c r="A4" s="561" t="s">
        <v>1</v>
      </c>
      <c r="B4" s="549" t="s">
        <v>0</v>
      </c>
      <c r="C4" s="563" t="s">
        <v>231</v>
      </c>
      <c r="D4" s="564"/>
      <c r="E4" s="564"/>
      <c r="F4" s="564"/>
      <c r="G4" s="564"/>
      <c r="H4" s="564"/>
      <c r="I4" s="564"/>
      <c r="J4" s="564"/>
      <c r="K4" s="565"/>
      <c r="O4" s="103"/>
      <c r="P4" s="103"/>
      <c r="Q4" s="103"/>
      <c r="R4" s="103"/>
      <c r="S4" s="103"/>
      <c r="T4" s="103"/>
    </row>
    <row r="5" spans="1:20" ht="25.5" customHeight="1" thickBot="1" x14ac:dyDescent="0.3">
      <c r="A5" s="562"/>
      <c r="B5" s="550"/>
      <c r="C5" s="566" t="s">
        <v>8</v>
      </c>
      <c r="D5" s="586"/>
      <c r="E5" s="586"/>
      <c r="F5" s="586"/>
      <c r="G5" s="587"/>
      <c r="H5" s="156" t="s">
        <v>2</v>
      </c>
      <c r="I5" s="12" t="s">
        <v>36</v>
      </c>
      <c r="J5" s="414" t="s">
        <v>17</v>
      </c>
      <c r="K5" s="35" t="s">
        <v>9</v>
      </c>
      <c r="L5" s="212"/>
    </row>
    <row r="6" spans="1:20" ht="16.5" customHeight="1" x14ac:dyDescent="0.25">
      <c r="A6" s="517"/>
      <c r="B6" s="21"/>
      <c r="C6" s="263"/>
      <c r="D6" s="263"/>
      <c r="E6" s="263"/>
      <c r="F6" s="263"/>
      <c r="G6" s="263"/>
      <c r="H6" s="123"/>
      <c r="I6" s="390"/>
      <c r="J6" s="485"/>
      <c r="K6" s="100"/>
      <c r="M6" s="104"/>
      <c r="N6" s="104"/>
      <c r="O6" s="104"/>
      <c r="P6" s="104"/>
      <c r="Q6" s="104"/>
      <c r="R6" s="104"/>
      <c r="S6" s="104"/>
      <c r="T6"/>
    </row>
    <row r="7" spans="1:20" ht="16.5" customHeight="1" x14ac:dyDescent="0.25">
      <c r="A7" s="517"/>
      <c r="B7" s="21"/>
      <c r="C7" s="263"/>
      <c r="D7" s="263"/>
      <c r="E7" s="263"/>
      <c r="F7" s="263"/>
      <c r="G7" s="263"/>
      <c r="H7" s="123"/>
      <c r="I7" s="390"/>
      <c r="J7" s="420"/>
      <c r="K7" s="100"/>
      <c r="M7" s="104"/>
      <c r="N7" s="104"/>
      <c r="O7" s="104"/>
      <c r="P7" s="104"/>
      <c r="Q7" s="104"/>
      <c r="R7" s="104"/>
      <c r="S7" s="104"/>
      <c r="T7"/>
    </row>
    <row r="8" spans="1:20" ht="16.5" customHeight="1" x14ac:dyDescent="0.25">
      <c r="A8" s="517"/>
      <c r="B8" s="21"/>
      <c r="C8" s="263"/>
      <c r="D8" s="263"/>
      <c r="E8" s="263"/>
      <c r="F8" s="263"/>
      <c r="G8" s="263"/>
      <c r="H8" s="123"/>
      <c r="I8" s="390"/>
      <c r="J8" s="420"/>
      <c r="K8" s="100"/>
      <c r="M8" s="104"/>
      <c r="N8" s="104"/>
      <c r="O8" s="104"/>
      <c r="P8" s="104"/>
      <c r="Q8" s="104"/>
      <c r="R8" s="104"/>
      <c r="S8" s="104"/>
      <c r="T8"/>
    </row>
    <row r="9" spans="1:20" ht="16.5" customHeight="1" x14ac:dyDescent="0.25">
      <c r="A9" s="517"/>
      <c r="B9" s="21"/>
      <c r="C9" s="263"/>
      <c r="D9" s="263"/>
      <c r="E9" s="263"/>
      <c r="F9" s="263"/>
      <c r="G9" s="263"/>
      <c r="H9" s="123"/>
      <c r="I9" s="390"/>
      <c r="J9" s="420"/>
      <c r="K9" s="100"/>
      <c r="M9" s="104"/>
      <c r="N9" s="104"/>
      <c r="O9" s="104"/>
      <c r="P9" s="104"/>
      <c r="Q9" s="104"/>
      <c r="R9" s="104"/>
      <c r="S9" s="104"/>
      <c r="T9"/>
    </row>
    <row r="10" spans="1:20" ht="16.5" customHeight="1" x14ac:dyDescent="0.25">
      <c r="A10" s="517"/>
      <c r="B10" s="21"/>
      <c r="C10" s="263"/>
      <c r="D10" s="263"/>
      <c r="E10" s="263"/>
      <c r="F10" s="263"/>
      <c r="G10" s="263"/>
      <c r="H10" s="123"/>
      <c r="I10" s="390"/>
      <c r="J10" s="420"/>
      <c r="K10" s="100"/>
      <c r="M10" s="104"/>
      <c r="N10" s="104"/>
      <c r="O10" s="104"/>
      <c r="P10" s="104"/>
      <c r="Q10" s="104"/>
      <c r="R10" s="104"/>
      <c r="S10" s="104"/>
      <c r="T10"/>
    </row>
    <row r="11" spans="1:20" ht="16.5" customHeight="1" x14ac:dyDescent="0.25">
      <c r="A11" s="517"/>
      <c r="B11" s="21"/>
      <c r="C11" s="263"/>
      <c r="D11" s="263"/>
      <c r="E11" s="263"/>
      <c r="F11" s="263"/>
      <c r="G11" s="263"/>
      <c r="H11" s="123"/>
      <c r="I11" s="390"/>
      <c r="J11" s="420"/>
      <c r="K11" s="100"/>
      <c r="M11" s="104"/>
      <c r="N11" s="104"/>
      <c r="O11" s="104"/>
      <c r="P11" s="104"/>
      <c r="Q11" s="104"/>
      <c r="R11" s="104"/>
      <c r="S11" s="104"/>
      <c r="T11"/>
    </row>
    <row r="12" spans="1:20" ht="16.5" customHeight="1" thickBot="1" x14ac:dyDescent="0.3">
      <c r="A12" s="517"/>
      <c r="B12" s="21"/>
      <c r="C12" s="523"/>
      <c r="D12" s="524"/>
      <c r="E12" s="524"/>
      <c r="F12" s="524"/>
      <c r="G12" s="524"/>
      <c r="H12" s="525"/>
      <c r="I12" s="526"/>
      <c r="J12" s="527"/>
      <c r="K12" s="522"/>
      <c r="M12" s="104"/>
      <c r="N12" s="104"/>
      <c r="O12" s="104"/>
      <c r="P12" s="104"/>
      <c r="Q12" s="104"/>
      <c r="R12" s="104"/>
      <c r="S12" s="104"/>
      <c r="T12"/>
    </row>
    <row r="13" spans="1:20" ht="16.5" customHeight="1" thickBot="1" x14ac:dyDescent="0.3">
      <c r="A13" s="213"/>
      <c r="B13" s="220" t="s">
        <v>154</v>
      </c>
      <c r="C13" s="518"/>
      <c r="D13" s="519"/>
      <c r="E13" s="519"/>
      <c r="F13" s="256"/>
      <c r="G13" s="520" t="s">
        <v>101</v>
      </c>
      <c r="H13" s="123"/>
      <c r="I13" s="521">
        <f>+C13*I64</f>
        <v>0</v>
      </c>
      <c r="J13" s="420"/>
      <c r="K13" s="522"/>
      <c r="M13" s="104"/>
      <c r="N13" s="104"/>
      <c r="O13" s="104"/>
      <c r="P13" s="104"/>
      <c r="Q13" s="104"/>
      <c r="R13" s="104"/>
      <c r="S13" s="104"/>
      <c r="T13"/>
    </row>
    <row r="14" spans="1:20" ht="13.8" thickBot="1" x14ac:dyDescent="0.3">
      <c r="A14" s="561" t="s">
        <v>1</v>
      </c>
      <c r="B14" s="549" t="s">
        <v>0</v>
      </c>
      <c r="C14" s="563"/>
      <c r="D14" s="564"/>
      <c r="E14" s="564"/>
      <c r="F14" s="564"/>
      <c r="G14" s="564"/>
      <c r="H14" s="564"/>
      <c r="I14" s="564"/>
      <c r="J14" s="564"/>
      <c r="K14" s="574"/>
      <c r="L14" s="105"/>
      <c r="M14" s="105"/>
      <c r="N14" s="106"/>
      <c r="O14" s="106"/>
      <c r="P14" s="106"/>
      <c r="Q14" s="106"/>
      <c r="R14" s="106"/>
      <c r="S14" s="106"/>
      <c r="T14" s="106"/>
    </row>
    <row r="15" spans="1:20" ht="25.5" customHeight="1" thickBot="1" x14ac:dyDescent="0.3">
      <c r="A15" s="562"/>
      <c r="B15" s="550"/>
      <c r="C15" s="566" t="s">
        <v>8</v>
      </c>
      <c r="D15" s="586"/>
      <c r="E15" s="586"/>
      <c r="F15" s="586"/>
      <c r="G15" s="587"/>
      <c r="H15" s="156" t="s">
        <v>2</v>
      </c>
      <c r="I15" s="12" t="s">
        <v>37</v>
      </c>
      <c r="J15" s="414" t="s">
        <v>17</v>
      </c>
      <c r="K15" s="35" t="s">
        <v>9</v>
      </c>
      <c r="N15" s="104"/>
      <c r="O15" s="104"/>
      <c r="P15" s="104"/>
      <c r="Q15" s="104"/>
      <c r="R15" s="104"/>
      <c r="S15" s="104"/>
      <c r="T15" s="104"/>
    </row>
    <row r="16" spans="1:20" ht="26.4" x14ac:dyDescent="0.25">
      <c r="A16" s="559" t="s">
        <v>10</v>
      </c>
      <c r="B16" s="46" t="s">
        <v>14</v>
      </c>
      <c r="C16" s="514" t="s">
        <v>116</v>
      </c>
      <c r="D16" s="515" t="s">
        <v>227</v>
      </c>
      <c r="E16" s="515" t="s">
        <v>228</v>
      </c>
      <c r="F16" s="516" t="s">
        <v>229</v>
      </c>
      <c r="G16" s="516" t="s">
        <v>230</v>
      </c>
      <c r="H16" s="4"/>
      <c r="I16" s="24"/>
      <c r="J16" s="432"/>
      <c r="K16" s="188"/>
      <c r="N16" s="104"/>
      <c r="O16" s="104"/>
      <c r="P16" s="104"/>
      <c r="Q16" s="104"/>
      <c r="R16" s="104"/>
      <c r="S16" s="104"/>
      <c r="T16" s="104"/>
    </row>
    <row r="17" spans="1:20" ht="14.4" x14ac:dyDescent="0.25">
      <c r="A17" s="560"/>
      <c r="B17" s="65"/>
      <c r="C17" s="391"/>
      <c r="D17" s="400"/>
      <c r="E17" s="169"/>
      <c r="F17" s="171"/>
      <c r="G17" s="172"/>
      <c r="H17" s="123">
        <f>C17*D17*E17*F17+G17</f>
        <v>0</v>
      </c>
      <c r="I17" s="390"/>
      <c r="J17" s="480"/>
      <c r="K17" s="82"/>
      <c r="N17" s="104"/>
      <c r="O17" s="104"/>
      <c r="P17" s="104"/>
      <c r="Q17" s="104"/>
      <c r="R17" s="104"/>
      <c r="S17" s="104"/>
      <c r="T17" s="104"/>
    </row>
    <row r="18" spans="1:20" ht="54.75" customHeight="1" x14ac:dyDescent="0.25">
      <c r="A18" s="560"/>
      <c r="B18" s="65"/>
      <c r="C18" s="262"/>
      <c r="D18" s="263"/>
      <c r="E18" s="169"/>
      <c r="F18" s="171"/>
      <c r="G18" s="172"/>
      <c r="H18" s="123">
        <f t="shared" ref="H18:H20" si="0">C18*D18*E18*F18+G18</f>
        <v>0</v>
      </c>
      <c r="I18" s="390"/>
      <c r="J18" s="480"/>
      <c r="K18" s="385"/>
      <c r="N18" s="104"/>
      <c r="O18" s="104"/>
      <c r="P18" s="104"/>
      <c r="Q18" s="104"/>
      <c r="R18" s="104"/>
      <c r="S18" s="104"/>
      <c r="T18" s="104"/>
    </row>
    <row r="19" spans="1:20" ht="14.4" x14ac:dyDescent="0.25">
      <c r="A19" s="560"/>
      <c r="B19" s="21"/>
      <c r="C19" s="227"/>
      <c r="D19" s="173"/>
      <c r="E19" s="173"/>
      <c r="F19" s="118"/>
      <c r="G19" s="172"/>
      <c r="H19" s="123">
        <f t="shared" si="0"/>
        <v>0</v>
      </c>
      <c r="I19" s="119"/>
      <c r="J19" s="420"/>
      <c r="K19" s="100"/>
      <c r="L19" s="211"/>
      <c r="N19" s="104"/>
      <c r="O19" s="104"/>
      <c r="P19" s="104"/>
      <c r="Q19" s="104"/>
      <c r="R19" s="104"/>
      <c r="S19" s="104"/>
      <c r="T19" s="104"/>
    </row>
    <row r="20" spans="1:20" ht="89.25" customHeight="1" x14ac:dyDescent="0.25">
      <c r="A20" s="560"/>
      <c r="B20" s="204"/>
      <c r="C20" s="228"/>
      <c r="D20" s="173"/>
      <c r="E20" s="173"/>
      <c r="F20" s="118"/>
      <c r="G20" s="172"/>
      <c r="H20" s="123">
        <f t="shared" si="0"/>
        <v>0</v>
      </c>
      <c r="I20" s="119"/>
      <c r="J20" s="420"/>
      <c r="K20" s="201"/>
      <c r="N20" s="104"/>
      <c r="O20" s="104"/>
      <c r="P20" s="104"/>
      <c r="Q20" s="104"/>
      <c r="R20" s="104"/>
      <c r="S20" s="104"/>
      <c r="T20" s="104"/>
    </row>
    <row r="21" spans="1:20" x14ac:dyDescent="0.25">
      <c r="A21" s="560"/>
      <c r="B21" s="61"/>
      <c r="C21" s="98"/>
      <c r="D21" s="101"/>
      <c r="E21" s="99"/>
      <c r="F21" s="172"/>
      <c r="G21" s="172"/>
      <c r="H21" s="118">
        <f>SUM(H17:H20)*C21+0.2</f>
        <v>0.2</v>
      </c>
      <c r="I21" s="119"/>
      <c r="J21" s="420"/>
      <c r="K21" s="89"/>
    </row>
    <row r="22" spans="1:20" x14ac:dyDescent="0.25">
      <c r="A22" s="560"/>
      <c r="B22" s="21"/>
      <c r="C22" s="47"/>
      <c r="D22" s="96"/>
      <c r="E22" s="93"/>
      <c r="F22" s="298"/>
      <c r="G22" s="298"/>
      <c r="H22" s="121" t="s">
        <v>16</v>
      </c>
      <c r="I22" s="122">
        <f>SUM(H16:H21)</f>
        <v>0.2</v>
      </c>
      <c r="J22" s="433"/>
      <c r="K22" s="97"/>
    </row>
    <row r="23" spans="1:20" x14ac:dyDescent="0.25">
      <c r="A23" s="560"/>
      <c r="B23" s="21"/>
      <c r="C23" s="47"/>
      <c r="D23" s="96"/>
      <c r="E23" s="93"/>
      <c r="F23" s="298"/>
      <c r="G23" s="298"/>
      <c r="H23" s="121"/>
      <c r="I23" s="122"/>
      <c r="J23" s="433"/>
      <c r="K23" s="97"/>
    </row>
    <row r="24" spans="1:20" x14ac:dyDescent="0.25">
      <c r="A24" s="560"/>
      <c r="B24" s="46" t="s">
        <v>18</v>
      </c>
      <c r="C24" s="47"/>
      <c r="D24" s="96"/>
      <c r="E24" s="93"/>
      <c r="F24" s="298"/>
      <c r="G24" s="298"/>
      <c r="H24" s="121"/>
      <c r="I24" s="122"/>
      <c r="J24" s="433"/>
      <c r="K24" s="97"/>
    </row>
    <row r="25" spans="1:20" x14ac:dyDescent="0.25">
      <c r="A25" s="560"/>
      <c r="B25" s="61"/>
      <c r="C25" s="62"/>
      <c r="D25" s="63"/>
      <c r="E25" s="64"/>
      <c r="F25" s="299"/>
      <c r="G25" s="299"/>
      <c r="H25" s="123">
        <f>C25*D25</f>
        <v>0</v>
      </c>
      <c r="I25" s="124"/>
      <c r="J25" s="434"/>
      <c r="K25" s="82"/>
    </row>
    <row r="26" spans="1:20" x14ac:dyDescent="0.25">
      <c r="A26" s="560"/>
      <c r="B26" s="21"/>
      <c r="C26" s="47"/>
      <c r="D26" s="388"/>
      <c r="E26" s="19"/>
      <c r="F26" s="300"/>
      <c r="G26" s="300"/>
      <c r="H26" s="125" t="s">
        <v>20</v>
      </c>
      <c r="I26" s="126">
        <f>SUM(H25:H25)</f>
        <v>0</v>
      </c>
      <c r="J26" s="435"/>
      <c r="K26" s="49"/>
    </row>
    <row r="27" spans="1:20" x14ac:dyDescent="0.25">
      <c r="A27" s="560"/>
      <c r="B27" s="21"/>
      <c r="C27" s="47"/>
      <c r="D27" s="388"/>
      <c r="E27" s="19"/>
      <c r="F27" s="300"/>
      <c r="G27" s="300"/>
      <c r="H27" s="125"/>
      <c r="I27" s="126"/>
      <c r="J27" s="435"/>
      <c r="K27" s="49"/>
    </row>
    <row r="28" spans="1:20" x14ac:dyDescent="0.25">
      <c r="A28" s="560"/>
      <c r="B28" s="46" t="s">
        <v>21</v>
      </c>
      <c r="C28" s="47"/>
      <c r="D28" s="388"/>
      <c r="E28" s="19"/>
      <c r="F28" s="300"/>
      <c r="G28" s="300"/>
      <c r="H28" s="125"/>
      <c r="I28" s="126"/>
      <c r="J28" s="435"/>
      <c r="K28" s="49"/>
    </row>
    <row r="29" spans="1:20" x14ac:dyDescent="0.25">
      <c r="A29" s="560"/>
      <c r="B29" s="59"/>
      <c r="C29" s="62"/>
      <c r="D29" s="63"/>
      <c r="E29" s="60"/>
      <c r="F29" s="301"/>
      <c r="G29" s="301"/>
      <c r="H29" s="123">
        <f>C29*D29</f>
        <v>0</v>
      </c>
      <c r="I29" s="127"/>
      <c r="J29" s="434"/>
      <c r="K29" s="48"/>
    </row>
    <row r="30" spans="1:20" x14ac:dyDescent="0.25">
      <c r="A30" s="560"/>
      <c r="B30" s="61"/>
      <c r="C30" s="62"/>
      <c r="D30" s="144"/>
      <c r="E30" s="64"/>
      <c r="F30" s="299"/>
      <c r="G30" s="299"/>
      <c r="H30" s="123">
        <v>0</v>
      </c>
      <c r="I30" s="124"/>
      <c r="J30" s="434"/>
      <c r="K30" s="48"/>
    </row>
    <row r="31" spans="1:20" x14ac:dyDescent="0.25">
      <c r="A31" s="560"/>
      <c r="B31" s="21"/>
      <c r="C31" s="47"/>
      <c r="D31" s="18"/>
      <c r="E31" s="19"/>
      <c r="F31" s="300"/>
      <c r="G31" s="300"/>
      <c r="H31" s="125" t="s">
        <v>24</v>
      </c>
      <c r="I31" s="126">
        <f>SUM(H29:H30)</f>
        <v>0</v>
      </c>
      <c r="J31" s="435"/>
      <c r="K31" s="49"/>
    </row>
    <row r="32" spans="1:20" x14ac:dyDescent="0.25">
      <c r="A32" s="560"/>
      <c r="B32" s="21"/>
      <c r="C32" s="47"/>
      <c r="D32" s="18"/>
      <c r="E32" s="19"/>
      <c r="F32" s="300"/>
      <c r="G32" s="300"/>
      <c r="H32" s="128"/>
      <c r="I32" s="126"/>
      <c r="J32" s="435"/>
      <c r="K32" s="49"/>
    </row>
    <row r="33" spans="1:15" x14ac:dyDescent="0.25">
      <c r="A33" s="560"/>
      <c r="B33" s="46" t="s">
        <v>38</v>
      </c>
      <c r="C33" s="47"/>
      <c r="D33" s="18"/>
      <c r="E33" s="19"/>
      <c r="F33" s="300"/>
      <c r="G33" s="300"/>
      <c r="H33" s="128"/>
      <c r="I33" s="126"/>
      <c r="J33" s="435"/>
      <c r="K33" s="49"/>
    </row>
    <row r="34" spans="1:15" x14ac:dyDescent="0.25">
      <c r="A34" s="560"/>
      <c r="B34" s="61"/>
      <c r="C34" s="62"/>
      <c r="D34" s="63"/>
      <c r="E34" s="64"/>
      <c r="F34" s="299"/>
      <c r="G34" s="299"/>
      <c r="H34" s="123">
        <f>C34*D34</f>
        <v>0</v>
      </c>
      <c r="I34" s="124"/>
      <c r="J34" s="434"/>
      <c r="K34" s="48"/>
    </row>
    <row r="35" spans="1:15" x14ac:dyDescent="0.25">
      <c r="A35" s="560"/>
      <c r="B35" s="229"/>
      <c r="C35" s="62"/>
      <c r="D35" s="392"/>
      <c r="E35" s="230"/>
      <c r="F35" s="310"/>
      <c r="G35" s="310"/>
      <c r="H35" s="168">
        <f>C35*D35</f>
        <v>0</v>
      </c>
      <c r="I35" s="130"/>
      <c r="J35" s="482"/>
      <c r="K35" s="85"/>
      <c r="M35" s="148"/>
    </row>
    <row r="36" spans="1:15" ht="42.75" customHeight="1" x14ac:dyDescent="0.25">
      <c r="A36" s="560"/>
      <c r="B36" s="81"/>
      <c r="C36" s="62"/>
      <c r="D36" s="95"/>
      <c r="E36" s="64"/>
      <c r="F36" s="299"/>
      <c r="G36" s="299"/>
      <c r="H36" s="123"/>
      <c r="I36" s="124"/>
      <c r="J36" s="434"/>
      <c r="K36" s="48"/>
    </row>
    <row r="37" spans="1:15" x14ac:dyDescent="0.25">
      <c r="A37" s="560"/>
      <c r="B37" s="21"/>
      <c r="C37" s="47"/>
      <c r="D37" s="18"/>
      <c r="E37" s="19"/>
      <c r="F37" s="300"/>
      <c r="G37" s="300"/>
      <c r="H37" s="125" t="s">
        <v>39</v>
      </c>
      <c r="I37" s="126">
        <f>SUM(H34:H36)</f>
        <v>0</v>
      </c>
      <c r="J37" s="435"/>
      <c r="K37" s="49"/>
    </row>
    <row r="38" spans="1:15" x14ac:dyDescent="0.25">
      <c r="A38" s="560"/>
      <c r="B38" s="21"/>
      <c r="C38" s="47"/>
      <c r="D38" s="18"/>
      <c r="E38" s="19"/>
      <c r="F38" s="300"/>
      <c r="G38" s="300"/>
      <c r="H38" s="128"/>
      <c r="I38" s="126"/>
      <c r="J38" s="435"/>
      <c r="K38" s="49"/>
    </row>
    <row r="39" spans="1:15" x14ac:dyDescent="0.25">
      <c r="A39" s="560"/>
      <c r="B39" s="46" t="s">
        <v>25</v>
      </c>
      <c r="C39" s="47"/>
      <c r="D39" s="18"/>
      <c r="E39" s="19"/>
      <c r="F39" s="300"/>
      <c r="G39" s="300"/>
      <c r="H39" s="128"/>
      <c r="I39" s="126"/>
      <c r="J39" s="435"/>
      <c r="K39" s="37"/>
    </row>
    <row r="40" spans="1:15" x14ac:dyDescent="0.25">
      <c r="A40" s="560"/>
      <c r="B40" s="65"/>
      <c r="C40" s="163"/>
      <c r="D40" s="164"/>
      <c r="E40" s="165"/>
      <c r="F40" s="302"/>
      <c r="G40" s="302"/>
      <c r="H40" s="166"/>
      <c r="I40" s="119"/>
      <c r="J40" s="420"/>
      <c r="K40" s="201"/>
      <c r="L40" s="105"/>
    </row>
    <row r="41" spans="1:15" ht="41.25" customHeight="1" x14ac:dyDescent="0.25">
      <c r="A41" s="560"/>
      <c r="B41" s="86"/>
      <c r="C41" s="66"/>
      <c r="D41" s="87"/>
      <c r="E41" s="88"/>
      <c r="F41" s="303"/>
      <c r="G41" s="303"/>
      <c r="H41" s="123">
        <f t="shared" ref="H41" si="1">C41*D41</f>
        <v>0</v>
      </c>
      <c r="I41" s="130"/>
      <c r="J41" s="482"/>
      <c r="K41" s="85"/>
    </row>
    <row r="42" spans="1:15" ht="13.8" x14ac:dyDescent="0.25">
      <c r="A42" s="560"/>
      <c r="B42" s="21"/>
      <c r="C42" s="47"/>
      <c r="D42" s="18"/>
      <c r="E42" s="19"/>
      <c r="F42" s="300"/>
      <c r="G42" s="300"/>
      <c r="H42" s="125" t="s">
        <v>27</v>
      </c>
      <c r="I42" s="126">
        <f>SUM(H40:H41)</f>
        <v>0</v>
      </c>
      <c r="J42" s="435"/>
      <c r="K42" s="37"/>
      <c r="M42" s="107"/>
    </row>
    <row r="43" spans="1:15" ht="13.8" x14ac:dyDescent="0.25">
      <c r="A43" s="560"/>
      <c r="B43" s="21"/>
      <c r="C43" s="47"/>
      <c r="D43" s="18"/>
      <c r="E43" s="19"/>
      <c r="F43" s="300"/>
      <c r="G43" s="300"/>
      <c r="H43" s="125"/>
      <c r="I43" s="126"/>
      <c r="J43" s="435"/>
      <c r="K43" s="37"/>
      <c r="N43" s="108"/>
      <c r="O43" s="108"/>
    </row>
    <row r="44" spans="1:15" ht="13.8" x14ac:dyDescent="0.25">
      <c r="A44" s="560"/>
      <c r="B44" s="46" t="s">
        <v>233</v>
      </c>
      <c r="C44" s="47"/>
      <c r="D44" s="18"/>
      <c r="E44" s="19"/>
      <c r="F44" s="300"/>
      <c r="G44" s="300"/>
      <c r="H44" s="125"/>
      <c r="I44" s="126"/>
      <c r="J44" s="435"/>
      <c r="K44" s="37"/>
      <c r="N44" s="108"/>
      <c r="O44" s="108"/>
    </row>
    <row r="45" spans="1:15" ht="13.8" x14ac:dyDescent="0.25">
      <c r="A45" s="560"/>
      <c r="B45" s="21"/>
      <c r="C45" s="47"/>
      <c r="D45" s="69"/>
      <c r="E45" s="19"/>
      <c r="F45" s="300"/>
      <c r="G45" s="300"/>
      <c r="H45" s="128">
        <f>C45*D45</f>
        <v>0</v>
      </c>
      <c r="I45" s="126"/>
      <c r="J45" s="435"/>
      <c r="K45" s="48"/>
      <c r="N45" s="108"/>
      <c r="O45" s="108"/>
    </row>
    <row r="46" spans="1:15" ht="13.8" x14ac:dyDescent="0.25">
      <c r="A46" s="560"/>
      <c r="B46" s="21"/>
      <c r="C46" s="47"/>
      <c r="D46" s="18"/>
      <c r="E46" s="19"/>
      <c r="F46" s="300"/>
      <c r="G46" s="300"/>
      <c r="H46" s="125" t="s">
        <v>41</v>
      </c>
      <c r="I46" s="126">
        <f>SUM(H45:H45)</f>
        <v>0</v>
      </c>
      <c r="J46" s="435"/>
      <c r="K46" s="37"/>
      <c r="N46" s="108"/>
      <c r="O46" s="108"/>
    </row>
    <row r="47" spans="1:15" ht="10.35" customHeight="1" x14ac:dyDescent="0.25">
      <c r="A47" s="560"/>
      <c r="B47" s="21"/>
      <c r="C47" s="47"/>
      <c r="D47" s="18"/>
      <c r="E47" s="19"/>
      <c r="F47" s="300"/>
      <c r="G47" s="300"/>
      <c r="H47" s="128"/>
      <c r="I47" s="126"/>
      <c r="J47" s="435"/>
      <c r="K47" s="37"/>
    </row>
    <row r="48" spans="1:15" x14ac:dyDescent="0.25">
      <c r="A48" s="560"/>
      <c r="B48" s="46" t="s">
        <v>28</v>
      </c>
      <c r="C48" s="47"/>
      <c r="D48" s="18"/>
      <c r="E48" s="19"/>
      <c r="F48" s="300"/>
      <c r="G48" s="300"/>
      <c r="H48" s="128"/>
      <c r="I48" s="126"/>
      <c r="J48" s="435"/>
      <c r="K48" s="37"/>
    </row>
    <row r="49" spans="1:11" x14ac:dyDescent="0.25">
      <c r="A49" s="560"/>
      <c r="B49" s="71"/>
      <c r="C49" s="66"/>
      <c r="D49" s="70"/>
      <c r="E49" s="67"/>
      <c r="F49" s="304"/>
      <c r="G49" s="304"/>
      <c r="H49" s="128">
        <f>C49*D49</f>
        <v>0</v>
      </c>
      <c r="I49" s="124"/>
      <c r="J49" s="434"/>
      <c r="K49" s="48"/>
    </row>
    <row r="50" spans="1:11" x14ac:dyDescent="0.25">
      <c r="A50" s="560"/>
      <c r="B50" s="21"/>
      <c r="C50" s="47"/>
      <c r="D50" s="18"/>
      <c r="E50" s="19"/>
      <c r="F50" s="300"/>
      <c r="G50" s="300"/>
      <c r="H50" s="125" t="s">
        <v>29</v>
      </c>
      <c r="I50" s="126">
        <f>H49</f>
        <v>0</v>
      </c>
      <c r="J50" s="435"/>
      <c r="K50" s="37"/>
    </row>
    <row r="51" spans="1:11" x14ac:dyDescent="0.25">
      <c r="A51" s="560"/>
      <c r="B51" s="21"/>
      <c r="C51" s="47"/>
      <c r="D51" s="18"/>
      <c r="E51" s="19"/>
      <c r="F51" s="300"/>
      <c r="G51" s="300"/>
      <c r="H51" s="128"/>
      <c r="I51" s="126"/>
      <c r="J51" s="435"/>
      <c r="K51" s="37"/>
    </row>
    <row r="52" spans="1:11" x14ac:dyDescent="0.25">
      <c r="A52" s="560"/>
      <c r="B52" s="46" t="s">
        <v>30</v>
      </c>
      <c r="C52" s="47"/>
      <c r="D52" s="18"/>
      <c r="E52" s="19"/>
      <c r="F52" s="300"/>
      <c r="G52" s="300"/>
      <c r="H52" s="128"/>
      <c r="I52" s="132"/>
      <c r="J52" s="436"/>
      <c r="K52" s="37"/>
    </row>
    <row r="53" spans="1:11" x14ac:dyDescent="0.25">
      <c r="A53" s="560"/>
      <c r="B53" s="46"/>
      <c r="C53" s="47"/>
      <c r="D53" s="18"/>
      <c r="E53" s="19"/>
      <c r="F53" s="300"/>
      <c r="G53" s="300"/>
      <c r="H53" s="128"/>
      <c r="I53" s="126"/>
      <c r="J53" s="435"/>
      <c r="K53" s="37"/>
    </row>
    <row r="54" spans="1:11" x14ac:dyDescent="0.25">
      <c r="A54" s="560"/>
      <c r="B54" s="65"/>
      <c r="C54" s="206"/>
      <c r="D54" s="70"/>
      <c r="E54" s="67"/>
      <c r="F54" s="304"/>
      <c r="G54" s="304"/>
      <c r="H54" s="123"/>
      <c r="I54" s="133"/>
      <c r="J54" s="420"/>
      <c r="K54" s="201"/>
    </row>
    <row r="55" spans="1:11" ht="30.6" customHeight="1" x14ac:dyDescent="0.25">
      <c r="A55" s="560"/>
      <c r="B55" s="161"/>
      <c r="C55" s="66"/>
      <c r="D55" s="70"/>
      <c r="E55" s="67"/>
      <c r="F55" s="304"/>
      <c r="G55" s="304"/>
      <c r="H55" s="123"/>
      <c r="I55" s="133"/>
      <c r="J55" s="420"/>
      <c r="K55" s="242"/>
    </row>
    <row r="56" spans="1:11" x14ac:dyDescent="0.25">
      <c r="A56" s="560"/>
      <c r="B56" s="61"/>
      <c r="C56" s="62"/>
      <c r="D56" s="83"/>
      <c r="E56" s="64"/>
      <c r="F56" s="299"/>
      <c r="G56" s="299"/>
      <c r="H56" s="123"/>
      <c r="I56" s="124"/>
      <c r="J56" s="434"/>
      <c r="K56" s="201"/>
    </row>
    <row r="57" spans="1:11" x14ac:dyDescent="0.25">
      <c r="A57" s="560"/>
      <c r="B57" s="21"/>
      <c r="C57" s="47"/>
      <c r="D57" s="69"/>
      <c r="E57" s="19"/>
      <c r="F57" s="300"/>
      <c r="G57" s="300"/>
      <c r="H57" s="128"/>
      <c r="I57" s="126"/>
      <c r="J57" s="435"/>
      <c r="K57" s="37"/>
    </row>
    <row r="58" spans="1:11" x14ac:dyDescent="0.25">
      <c r="A58" s="560"/>
      <c r="B58" s="61"/>
      <c r="C58" s="62"/>
      <c r="D58" s="83"/>
      <c r="E58" s="64"/>
      <c r="F58" s="299"/>
      <c r="G58" s="299"/>
      <c r="H58" s="123"/>
      <c r="I58" s="124"/>
      <c r="J58" s="434"/>
      <c r="K58" s="82"/>
    </row>
    <row r="59" spans="1:11" x14ac:dyDescent="0.25">
      <c r="A59" s="560"/>
      <c r="B59" s="149"/>
      <c r="C59" s="47"/>
      <c r="D59" s="69"/>
      <c r="E59" s="19"/>
      <c r="F59" s="300"/>
      <c r="G59" s="300"/>
      <c r="H59" s="125" t="s">
        <v>34</v>
      </c>
      <c r="I59" s="126">
        <f>SUM(H54:H58)</f>
        <v>0</v>
      </c>
      <c r="J59" s="435"/>
      <c r="K59" s="37"/>
    </row>
    <row r="60" spans="1:11" x14ac:dyDescent="0.25">
      <c r="A60" s="560"/>
      <c r="B60" s="21"/>
      <c r="C60" s="47"/>
      <c r="D60" s="18"/>
      <c r="E60" s="19"/>
      <c r="F60" s="300"/>
      <c r="G60" s="300"/>
      <c r="H60" s="128"/>
      <c r="I60" s="126"/>
      <c r="J60" s="435"/>
      <c r="K60" s="37"/>
    </row>
    <row r="61" spans="1:11" x14ac:dyDescent="0.25">
      <c r="A61" s="560"/>
      <c r="B61" s="90" t="s">
        <v>69</v>
      </c>
      <c r="C61" s="91"/>
      <c r="D61" s="92">
        <v>3.9399999999999998E-2</v>
      </c>
      <c r="E61" s="93"/>
      <c r="F61" s="298"/>
      <c r="G61" s="298"/>
      <c r="H61" s="512">
        <f>J61*D61</f>
        <v>0</v>
      </c>
      <c r="I61" s="126"/>
      <c r="J61" s="435"/>
      <c r="K61" s="37"/>
    </row>
    <row r="62" spans="1:11" x14ac:dyDescent="0.25">
      <c r="A62" s="560"/>
      <c r="B62" s="21"/>
      <c r="C62" s="47"/>
      <c r="D62" s="18"/>
      <c r="E62" s="19"/>
      <c r="F62" s="300"/>
      <c r="G62" s="300"/>
      <c r="H62" s="125" t="s">
        <v>114</v>
      </c>
      <c r="I62" s="135">
        <f>H61</f>
        <v>0</v>
      </c>
      <c r="J62" s="437"/>
      <c r="K62" s="37"/>
    </row>
    <row r="63" spans="1:11" ht="13.8" thickBot="1" x14ac:dyDescent="0.3">
      <c r="A63" s="560"/>
      <c r="B63" s="28"/>
      <c r="C63" s="7"/>
      <c r="D63" s="8"/>
      <c r="E63" s="9"/>
      <c r="F63" s="300"/>
      <c r="G63" s="300"/>
      <c r="H63" s="134"/>
      <c r="I63" s="136"/>
      <c r="J63" s="421"/>
      <c r="K63" s="189"/>
    </row>
    <row r="64" spans="1:11" ht="18" customHeight="1" thickBot="1" x14ac:dyDescent="0.3">
      <c r="A64" s="575"/>
      <c r="B64" s="2" t="s">
        <v>4</v>
      </c>
      <c r="C64" s="6"/>
      <c r="D64" s="5"/>
      <c r="E64" s="5"/>
      <c r="F64" s="5"/>
      <c r="G64" s="5"/>
      <c r="H64" s="137"/>
      <c r="I64" s="137">
        <f>SUM(I19:I63)</f>
        <v>0.2</v>
      </c>
      <c r="J64" s="438"/>
      <c r="K64" s="38"/>
    </row>
    <row r="65" spans="1:11" ht="14.1" customHeight="1" thickBot="1" x14ac:dyDescent="0.3">
      <c r="A65" s="561" t="s">
        <v>1</v>
      </c>
      <c r="B65" s="549" t="s">
        <v>0</v>
      </c>
      <c r="C65" s="563" t="s">
        <v>156</v>
      </c>
      <c r="D65" s="564"/>
      <c r="E65" s="564"/>
      <c r="F65" s="564"/>
      <c r="G65" s="564"/>
      <c r="H65" s="564"/>
      <c r="I65" s="564"/>
      <c r="J65" s="564"/>
      <c r="K65" s="565"/>
    </row>
    <row r="66" spans="1:11" ht="25.5" customHeight="1" thickBot="1" x14ac:dyDescent="0.3">
      <c r="A66" s="562"/>
      <c r="B66" s="550"/>
      <c r="C66" s="566" t="s">
        <v>8</v>
      </c>
      <c r="D66" s="586"/>
      <c r="E66" s="586"/>
      <c r="F66" s="586"/>
      <c r="G66" s="587"/>
      <c r="H66" s="156" t="s">
        <v>2</v>
      </c>
      <c r="I66" s="12" t="s">
        <v>37</v>
      </c>
      <c r="J66" s="414"/>
      <c r="K66" s="35" t="s">
        <v>9</v>
      </c>
    </row>
    <row r="67" spans="1:11" ht="13.35" hidden="1" customHeight="1" thickBot="1" x14ac:dyDescent="0.3">
      <c r="A67" s="559" t="s">
        <v>5</v>
      </c>
      <c r="B67" s="21"/>
      <c r="C67" s="17"/>
      <c r="D67" s="42"/>
      <c r="E67" s="42"/>
      <c r="F67" s="297"/>
      <c r="G67" s="297"/>
      <c r="H67" s="4"/>
      <c r="I67" s="24"/>
      <c r="J67" s="439"/>
      <c r="K67" s="36"/>
    </row>
    <row r="68" spans="1:11" ht="13.35" hidden="1" customHeight="1" thickBot="1" x14ac:dyDescent="0.3">
      <c r="A68" s="560"/>
      <c r="B68" s="21"/>
      <c r="C68" s="17"/>
      <c r="D68" s="40"/>
      <c r="E68" s="20"/>
      <c r="F68" s="297"/>
      <c r="G68" s="297"/>
      <c r="H68" s="4"/>
      <c r="I68" s="24"/>
      <c r="J68" s="439"/>
      <c r="K68" s="36"/>
    </row>
    <row r="69" spans="1:11" ht="13.35" hidden="1" customHeight="1" thickBot="1" x14ac:dyDescent="0.3">
      <c r="A69" s="560"/>
      <c r="B69" s="21"/>
      <c r="C69" s="7"/>
      <c r="D69" s="11"/>
      <c r="E69" s="20"/>
      <c r="F69" s="297"/>
      <c r="G69" s="297"/>
      <c r="H69" s="4"/>
      <c r="I69" s="24"/>
      <c r="J69" s="439"/>
      <c r="K69" s="36"/>
    </row>
    <row r="70" spans="1:11" ht="13.35" hidden="1" customHeight="1" thickBot="1" x14ac:dyDescent="0.3">
      <c r="A70" s="560"/>
      <c r="B70" s="10"/>
      <c r="C70" s="7"/>
      <c r="D70" s="22"/>
      <c r="E70" s="8"/>
      <c r="F70" s="305"/>
      <c r="G70" s="305"/>
      <c r="H70" s="4"/>
      <c r="I70" s="24"/>
      <c r="J70" s="439"/>
      <c r="K70" s="36"/>
    </row>
    <row r="71" spans="1:11" ht="13.35" hidden="1" customHeight="1" thickBot="1" x14ac:dyDescent="0.3">
      <c r="A71" s="560"/>
      <c r="B71" s="10"/>
      <c r="C71" s="7"/>
      <c r="D71" s="22"/>
      <c r="E71" s="8"/>
      <c r="F71" s="305"/>
      <c r="G71" s="305"/>
      <c r="H71" s="4"/>
      <c r="I71" s="24"/>
      <c r="J71" s="439"/>
      <c r="K71" s="36"/>
    </row>
    <row r="72" spans="1:11" ht="13.35" hidden="1" customHeight="1" thickBot="1" x14ac:dyDescent="0.3">
      <c r="A72" s="560"/>
      <c r="B72" s="10"/>
      <c r="C72" s="7"/>
      <c r="D72" s="11"/>
      <c r="E72" s="11"/>
      <c r="F72" s="297"/>
      <c r="G72" s="297"/>
      <c r="H72" s="4"/>
      <c r="I72" s="24"/>
      <c r="J72" s="439"/>
      <c r="K72" s="36"/>
    </row>
    <row r="73" spans="1:11" ht="13.35" hidden="1" customHeight="1" thickBot="1" x14ac:dyDescent="0.3">
      <c r="A73" s="560"/>
      <c r="B73" s="32"/>
      <c r="C73" s="29"/>
      <c r="D73" s="41"/>
      <c r="E73" s="31"/>
      <c r="F73" s="306"/>
      <c r="G73" s="306"/>
      <c r="H73" s="33"/>
      <c r="I73" s="34"/>
      <c r="J73" s="415"/>
      <c r="K73" s="36"/>
    </row>
    <row r="74" spans="1:11" ht="13.35" hidden="1" customHeight="1" thickBot="1" x14ac:dyDescent="0.3">
      <c r="A74" s="560"/>
      <c r="B74" s="32"/>
      <c r="C74" s="29"/>
      <c r="D74" s="30"/>
      <c r="E74" s="31"/>
      <c r="F74" s="306"/>
      <c r="G74" s="306"/>
      <c r="H74" s="33"/>
      <c r="I74" s="34"/>
      <c r="J74" s="415"/>
      <c r="K74" s="36"/>
    </row>
    <row r="75" spans="1:11" ht="13.35" hidden="1" customHeight="1" thickBot="1" x14ac:dyDescent="0.3">
      <c r="A75" s="560"/>
      <c r="B75" s="32"/>
      <c r="C75" s="29"/>
      <c r="D75" s="30"/>
      <c r="E75" s="31"/>
      <c r="F75" s="306"/>
      <c r="G75" s="306"/>
      <c r="H75" s="33"/>
      <c r="I75" s="34"/>
      <c r="J75" s="415"/>
      <c r="K75" s="36"/>
    </row>
    <row r="76" spans="1:11" ht="13.35" hidden="1" customHeight="1" thickBot="1" x14ac:dyDescent="0.3">
      <c r="A76" s="560"/>
      <c r="B76" s="10"/>
      <c r="C76" s="7"/>
      <c r="D76" s="8"/>
      <c r="E76" s="9"/>
      <c r="F76" s="300"/>
      <c r="G76" s="300"/>
      <c r="H76" s="4"/>
      <c r="I76" s="24"/>
      <c r="J76" s="439"/>
      <c r="K76" s="36"/>
    </row>
    <row r="77" spans="1:11" ht="13.35" hidden="1" customHeight="1" thickBot="1" x14ac:dyDescent="0.3">
      <c r="A77" s="560"/>
      <c r="B77" s="13"/>
      <c r="C77" s="14"/>
      <c r="D77" s="15"/>
      <c r="E77" s="16"/>
      <c r="F77" s="307"/>
      <c r="G77" s="307"/>
      <c r="H77" s="4"/>
      <c r="I77" s="24"/>
      <c r="J77" s="439"/>
      <c r="K77" s="36"/>
    </row>
    <row r="78" spans="1:11" ht="13.8" thickBot="1" x14ac:dyDescent="0.3">
      <c r="A78" s="560"/>
      <c r="B78" s="1"/>
      <c r="C78" s="7"/>
      <c r="D78" s="8"/>
      <c r="E78" s="9"/>
      <c r="F78" s="300"/>
      <c r="G78" s="300"/>
      <c r="H78" s="4"/>
      <c r="I78" s="25"/>
      <c r="J78" s="440"/>
      <c r="K78" s="36"/>
    </row>
    <row r="79" spans="1:11" ht="13.8" thickBot="1" x14ac:dyDescent="0.3">
      <c r="A79" s="43"/>
      <c r="B79" s="2" t="s">
        <v>6</v>
      </c>
      <c r="C79" s="6"/>
      <c r="D79" s="5"/>
      <c r="E79" s="5"/>
      <c r="F79" s="5"/>
      <c r="G79" s="5"/>
      <c r="H79" s="3">
        <f>SUM(H78:H78)</f>
        <v>0</v>
      </c>
      <c r="I79" s="26"/>
      <c r="J79" s="441"/>
      <c r="K79" s="38"/>
    </row>
    <row r="80" spans="1:11" ht="26.85" customHeight="1" x14ac:dyDescent="0.25">
      <c r="A80" s="548" t="s">
        <v>11</v>
      </c>
      <c r="B80" s="549" t="s">
        <v>0</v>
      </c>
      <c r="C80" s="551" t="s">
        <v>8</v>
      </c>
      <c r="D80" s="552"/>
      <c r="E80" s="552"/>
      <c r="F80" s="552"/>
      <c r="G80" s="553"/>
      <c r="H80" s="557" t="s">
        <v>2</v>
      </c>
      <c r="I80" s="537" t="s">
        <v>37</v>
      </c>
      <c r="J80" s="416"/>
      <c r="K80" s="533" t="s">
        <v>9</v>
      </c>
    </row>
    <row r="81" spans="1:20" ht="13.8" thickBot="1" x14ac:dyDescent="0.3">
      <c r="A81" s="548"/>
      <c r="B81" s="550"/>
      <c r="C81" s="554"/>
      <c r="D81" s="555"/>
      <c r="E81" s="555"/>
      <c r="F81" s="555"/>
      <c r="G81" s="556"/>
      <c r="H81" s="558"/>
      <c r="I81" s="538"/>
      <c r="J81" s="417"/>
      <c r="K81" s="534"/>
    </row>
    <row r="82" spans="1:20" x14ac:dyDescent="0.25">
      <c r="A82" s="548"/>
      <c r="B82" s="46"/>
      <c r="C82" s="7"/>
      <c r="D82" s="8"/>
      <c r="E82" s="9"/>
      <c r="F82" s="309"/>
      <c r="G82" s="309"/>
      <c r="H82" s="23"/>
      <c r="I82" s="27"/>
      <c r="J82" s="422"/>
      <c r="K82" s="27"/>
    </row>
    <row r="83" spans="1:20" x14ac:dyDescent="0.25">
      <c r="A83" s="548"/>
      <c r="B83" s="65"/>
      <c r="C83" s="74"/>
      <c r="D83" s="84"/>
      <c r="E83" s="76"/>
      <c r="F83" s="308"/>
      <c r="G83" s="308"/>
      <c r="H83" s="77"/>
      <c r="I83" s="27"/>
      <c r="J83" s="422"/>
      <c r="K83" s="94"/>
    </row>
    <row r="84" spans="1:20" ht="13.8" thickBot="1" x14ac:dyDescent="0.3">
      <c r="A84" s="548"/>
      <c r="B84" s="21"/>
      <c r="C84" s="7"/>
      <c r="D84" s="8"/>
      <c r="E84" s="9"/>
      <c r="F84" s="309"/>
      <c r="G84" s="309"/>
      <c r="H84" s="23"/>
      <c r="I84" s="27"/>
      <c r="J84" s="422"/>
      <c r="K84" s="27"/>
    </row>
    <row r="85" spans="1:20" ht="13.8" thickBot="1" x14ac:dyDescent="0.3">
      <c r="A85" s="43"/>
      <c r="B85" s="2" t="s">
        <v>7</v>
      </c>
      <c r="C85" s="6"/>
      <c r="D85" s="5"/>
      <c r="E85" s="5"/>
      <c r="F85" s="5"/>
      <c r="G85" s="5"/>
      <c r="H85" s="3"/>
      <c r="I85" s="3">
        <f>H83</f>
        <v>0</v>
      </c>
      <c r="J85" s="442"/>
      <c r="K85" s="39"/>
    </row>
    <row r="86" spans="1:20" ht="26.85" customHeight="1" x14ac:dyDescent="0.25">
      <c r="A86" s="548" t="s">
        <v>12</v>
      </c>
      <c r="B86" s="549" t="s">
        <v>0</v>
      </c>
      <c r="C86" s="551" t="s">
        <v>8</v>
      </c>
      <c r="D86" s="552"/>
      <c r="E86" s="552"/>
      <c r="F86" s="552"/>
      <c r="G86" s="553"/>
      <c r="H86" s="557" t="s">
        <v>2</v>
      </c>
      <c r="I86" s="537" t="s">
        <v>37</v>
      </c>
      <c r="J86" s="416"/>
      <c r="K86" s="535" t="s">
        <v>9</v>
      </c>
    </row>
    <row r="87" spans="1:20" ht="13.8" thickBot="1" x14ac:dyDescent="0.3">
      <c r="A87" s="548"/>
      <c r="B87" s="550"/>
      <c r="C87" s="554"/>
      <c r="D87" s="555"/>
      <c r="E87" s="555"/>
      <c r="F87" s="555"/>
      <c r="G87" s="556"/>
      <c r="H87" s="558"/>
      <c r="I87" s="538"/>
      <c r="J87" s="417"/>
      <c r="K87" s="536"/>
    </row>
    <row r="88" spans="1:20" x14ac:dyDescent="0.25">
      <c r="A88" s="548"/>
      <c r="B88" s="21"/>
      <c r="C88" s="7"/>
      <c r="D88" s="8"/>
      <c r="E88" s="9"/>
      <c r="F88" s="309"/>
      <c r="G88" s="309"/>
      <c r="H88" s="23">
        <f>C88*D88</f>
        <v>0</v>
      </c>
      <c r="I88" s="27"/>
      <c r="J88" s="484"/>
      <c r="K88" s="27"/>
    </row>
    <row r="89" spans="1:20" ht="13.8" thickBot="1" x14ac:dyDescent="0.3">
      <c r="A89" s="548"/>
      <c r="B89" s="21" t="s">
        <v>69</v>
      </c>
      <c r="C89" s="7"/>
      <c r="D89" s="8"/>
      <c r="E89" s="9"/>
      <c r="F89" s="300"/>
      <c r="G89" s="300"/>
      <c r="H89" s="68">
        <f>H88*0.0394</f>
        <v>0</v>
      </c>
      <c r="I89" s="27"/>
      <c r="J89" s="484"/>
      <c r="K89" s="27"/>
    </row>
    <row r="90" spans="1:20" ht="15.6" thickBot="1" x14ac:dyDescent="0.3">
      <c r="A90" s="43"/>
      <c r="B90" s="116" t="s">
        <v>13</v>
      </c>
      <c r="C90" s="113"/>
      <c r="D90" s="114"/>
      <c r="E90" s="114"/>
      <c r="F90" s="114"/>
      <c r="G90" s="114"/>
      <c r="H90" s="115"/>
      <c r="I90" s="146">
        <f>SUM(H88:H89)</f>
        <v>0</v>
      </c>
      <c r="J90" s="483"/>
      <c r="K90" s="44"/>
      <c r="L90" s="109"/>
      <c r="M90" s="109"/>
      <c r="N90" s="109"/>
      <c r="O90" s="109"/>
      <c r="P90" s="109"/>
      <c r="Q90" s="109"/>
      <c r="R90" s="109"/>
      <c r="S90" s="109"/>
      <c r="T90" s="109"/>
    </row>
    <row r="91" spans="1:20" ht="16.2" thickBot="1" x14ac:dyDescent="0.35">
      <c r="A91" s="45"/>
      <c r="B91" s="112" t="s">
        <v>3</v>
      </c>
      <c r="C91" s="542"/>
      <c r="D91" s="543"/>
      <c r="E91" s="543"/>
      <c r="F91" s="543"/>
      <c r="G91" s="543"/>
      <c r="H91" s="544"/>
      <c r="I91" s="147">
        <f>SUM(I90+I85+I79+I64+I13)</f>
        <v>0.2</v>
      </c>
      <c r="J91" s="443"/>
      <c r="K91" s="45"/>
      <c r="L91" s="109"/>
      <c r="M91" s="109"/>
      <c r="N91" s="109"/>
      <c r="O91" s="109"/>
      <c r="P91" s="109"/>
      <c r="Q91" s="109"/>
      <c r="R91" s="109"/>
      <c r="S91" s="109"/>
      <c r="T91" s="109"/>
    </row>
    <row r="92" spans="1:20" ht="20.25" customHeight="1" x14ac:dyDescent="0.25">
      <c r="D92" s="80"/>
      <c r="E92" s="150"/>
      <c r="F92" s="150"/>
      <c r="G92" s="150"/>
      <c r="H92" s="79"/>
      <c r="I92" s="322"/>
      <c r="J92" s="444"/>
      <c r="L92" s="109"/>
      <c r="M92" s="109"/>
      <c r="N92" s="109"/>
      <c r="O92" s="109"/>
      <c r="P92" s="109"/>
      <c r="Q92" s="109"/>
      <c r="R92" s="109"/>
      <c r="S92" s="109"/>
      <c r="T92" s="109"/>
    </row>
    <row r="93" spans="1:20" ht="15" x14ac:dyDescent="0.25">
      <c r="H93" s="511"/>
      <c r="I93" s="110"/>
      <c r="J93" s="444"/>
      <c r="K93" s="160"/>
      <c r="L93" s="109"/>
      <c r="M93" s="109"/>
      <c r="N93" s="109"/>
      <c r="O93" s="109"/>
      <c r="P93" s="109"/>
      <c r="Q93" s="109"/>
      <c r="R93" s="109"/>
      <c r="S93" s="109"/>
      <c r="T93" s="109"/>
    </row>
    <row r="94" spans="1:20" ht="15" x14ac:dyDescent="0.25">
      <c r="H94" s="79"/>
      <c r="I94" s="111"/>
      <c r="J94" s="445"/>
      <c r="L94" s="109"/>
      <c r="M94" s="109"/>
      <c r="N94" s="109"/>
      <c r="O94" s="109"/>
      <c r="P94" s="109"/>
      <c r="Q94" s="109"/>
      <c r="R94" s="109"/>
      <c r="S94" s="109"/>
      <c r="T94" s="109"/>
    </row>
    <row r="95" spans="1:20" ht="15.6" x14ac:dyDescent="0.3">
      <c r="B95" s="174" t="s">
        <v>57</v>
      </c>
      <c r="C95" s="175"/>
      <c r="I95" s="313"/>
      <c r="L95" s="109"/>
      <c r="M95" s="109"/>
      <c r="N95" s="109"/>
      <c r="O95" s="109"/>
      <c r="P95" s="109"/>
      <c r="Q95" s="109"/>
      <c r="R95" s="109"/>
      <c r="S95" s="109"/>
      <c r="T95" s="109"/>
    </row>
    <row r="96" spans="1:20" ht="13.8" x14ac:dyDescent="0.25">
      <c r="B96" s="231" t="s">
        <v>110</v>
      </c>
      <c r="C96" s="237">
        <f>I22</f>
        <v>0.2</v>
      </c>
    </row>
    <row r="97" spans="2:10" ht="13.8" x14ac:dyDescent="0.25">
      <c r="B97" s="232" t="s">
        <v>74</v>
      </c>
      <c r="C97" s="238">
        <f>I26</f>
        <v>0</v>
      </c>
    </row>
    <row r="98" spans="2:10" ht="13.8" x14ac:dyDescent="0.25">
      <c r="B98" s="233" t="s">
        <v>65</v>
      </c>
      <c r="C98" s="238">
        <f>I31</f>
        <v>0</v>
      </c>
      <c r="J98" s="448"/>
    </row>
    <row r="99" spans="2:10" ht="13.8" x14ac:dyDescent="0.25">
      <c r="B99" s="231" t="s">
        <v>38</v>
      </c>
      <c r="C99" s="238">
        <f>I37</f>
        <v>0</v>
      </c>
      <c r="J99" s="448"/>
    </row>
    <row r="100" spans="2:10" ht="13.8" x14ac:dyDescent="0.25">
      <c r="B100" s="231" t="s">
        <v>75</v>
      </c>
      <c r="C100" s="238">
        <f>I42</f>
        <v>0</v>
      </c>
      <c r="J100" s="448"/>
    </row>
    <row r="101" spans="2:10" ht="13.8" x14ac:dyDescent="0.25">
      <c r="B101" s="234" t="s">
        <v>73</v>
      </c>
      <c r="C101" s="238">
        <f>I46</f>
        <v>0</v>
      </c>
      <c r="J101" s="449"/>
    </row>
    <row r="102" spans="2:10" ht="13.8" x14ac:dyDescent="0.25">
      <c r="B102" s="231" t="s">
        <v>30</v>
      </c>
      <c r="C102" s="238">
        <f>I59</f>
        <v>0</v>
      </c>
    </row>
    <row r="103" spans="2:10" ht="13.8" x14ac:dyDescent="0.25">
      <c r="B103" s="231" t="s">
        <v>69</v>
      </c>
      <c r="C103" s="237">
        <f>I62</f>
        <v>0</v>
      </c>
    </row>
    <row r="104" spans="2:10" ht="13.8" x14ac:dyDescent="0.25">
      <c r="B104" s="235" t="s">
        <v>111</v>
      </c>
      <c r="C104" s="239">
        <f>SUM(C96:C103)</f>
        <v>0.2</v>
      </c>
    </row>
    <row r="105" spans="2:10" ht="13.8" x14ac:dyDescent="0.25">
      <c r="B105" s="231"/>
      <c r="C105" s="231"/>
    </row>
    <row r="106" spans="2:10" ht="13.8" x14ac:dyDescent="0.25">
      <c r="B106" s="235" t="s">
        <v>112</v>
      </c>
      <c r="C106" s="239">
        <f>I90</f>
        <v>0</v>
      </c>
    </row>
    <row r="107" spans="2:10" ht="13.8" x14ac:dyDescent="0.25">
      <c r="B107" s="231"/>
      <c r="C107" s="231"/>
    </row>
    <row r="108" spans="2:10" ht="13.8" x14ac:dyDescent="0.25">
      <c r="B108" s="235" t="s">
        <v>71</v>
      </c>
      <c r="C108" s="239">
        <f>+I13</f>
        <v>0</v>
      </c>
    </row>
    <row r="109" spans="2:10" ht="13.8" x14ac:dyDescent="0.25">
      <c r="B109" s="231"/>
      <c r="C109" s="314">
        <f>+C13</f>
        <v>0</v>
      </c>
    </row>
    <row r="110" spans="2:10" ht="13.8" x14ac:dyDescent="0.25">
      <c r="B110" s="231"/>
      <c r="C110" s="231"/>
    </row>
    <row r="111" spans="2:10" ht="13.8" x14ac:dyDescent="0.25">
      <c r="B111" s="236" t="s">
        <v>72</v>
      </c>
      <c r="C111" s="240">
        <f>C104+C106+C108</f>
        <v>0.2</v>
      </c>
    </row>
    <row r="112" spans="2:10" x14ac:dyDescent="0.25">
      <c r="C112" s="110">
        <f>+C111-I91</f>
        <v>0</v>
      </c>
    </row>
    <row r="114" spans="2:4" hidden="1" x14ac:dyDescent="0.25"/>
    <row r="115" spans="2:4" hidden="1" x14ac:dyDescent="0.25">
      <c r="B115" s="358" t="s">
        <v>172</v>
      </c>
      <c r="C115" s="358" t="s">
        <v>173</v>
      </c>
      <c r="D115" s="358" t="s">
        <v>71</v>
      </c>
    </row>
    <row r="116" spans="2:4" hidden="1" x14ac:dyDescent="0.25">
      <c r="B116" s="359" t="s">
        <v>174</v>
      </c>
      <c r="C116" s="360">
        <v>5.5299911291314799E-2</v>
      </c>
      <c r="D116" s="360">
        <v>4.2531917567422244E-2</v>
      </c>
    </row>
    <row r="117" spans="2:4" hidden="1" x14ac:dyDescent="0.25">
      <c r="B117" s="359" t="s">
        <v>175</v>
      </c>
      <c r="C117" s="360">
        <v>2.1230673860261905E-2</v>
      </c>
      <c r="D117" s="360">
        <v>1.6E-2</v>
      </c>
    </row>
    <row r="118" spans="2:4" hidden="1" x14ac:dyDescent="0.25">
      <c r="B118" s="359" t="s">
        <v>176</v>
      </c>
      <c r="C118" s="360">
        <v>1.7139355360550002E-2</v>
      </c>
      <c r="D118" s="360">
        <v>1.5100000000000001E-2</v>
      </c>
    </row>
    <row r="119" spans="2:4" hidden="1" x14ac:dyDescent="0.25">
      <c r="B119" s="359" t="s">
        <v>177</v>
      </c>
      <c r="C119" s="360">
        <v>0</v>
      </c>
      <c r="D119" s="360">
        <v>0</v>
      </c>
    </row>
    <row r="120" spans="2:4" hidden="1" x14ac:dyDescent="0.25">
      <c r="B120" s="361" t="s">
        <v>178</v>
      </c>
      <c r="C120" s="362">
        <f>SUM(C116:C119)</f>
        <v>9.3669940512126709E-2</v>
      </c>
      <c r="D120" s="362">
        <f>SUM(D116:D119)</f>
        <v>7.3631917567422239E-2</v>
      </c>
    </row>
    <row r="121" spans="2:4" hidden="1" x14ac:dyDescent="0.25"/>
  </sheetData>
  <mergeCells count="30">
    <mergeCell ref="C91:H91"/>
    <mergeCell ref="K80:K81"/>
    <mergeCell ref="A86:A89"/>
    <mergeCell ref="B86:B87"/>
    <mergeCell ref="H86:H87"/>
    <mergeCell ref="I86:I87"/>
    <mergeCell ref="K86:K87"/>
    <mergeCell ref="I80:I81"/>
    <mergeCell ref="C86:G87"/>
    <mergeCell ref="A67:A78"/>
    <mergeCell ref="A80:A84"/>
    <mergeCell ref="B80:B81"/>
    <mergeCell ref="H80:H81"/>
    <mergeCell ref="C80:G81"/>
    <mergeCell ref="A2:K2"/>
    <mergeCell ref="A3:B3"/>
    <mergeCell ref="A4:A5"/>
    <mergeCell ref="B4:B5"/>
    <mergeCell ref="C4:K4"/>
    <mergeCell ref="C3:I3"/>
    <mergeCell ref="C5:G5"/>
    <mergeCell ref="A65:A66"/>
    <mergeCell ref="B65:B66"/>
    <mergeCell ref="C65:K65"/>
    <mergeCell ref="A14:A15"/>
    <mergeCell ref="B14:B15"/>
    <mergeCell ref="C14:K14"/>
    <mergeCell ref="A16:A64"/>
    <mergeCell ref="C15:G15"/>
    <mergeCell ref="C66:G66"/>
  </mergeCells>
  <pageMargins left="0.7" right="0.7" top="0.75" bottom="0.75" header="0.3" footer="0.3"/>
  <pageSetup scale="42"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H41"/>
  <sheetViews>
    <sheetView workbookViewId="0">
      <selection activeCell="K16" sqref="K16"/>
    </sheetView>
  </sheetViews>
  <sheetFormatPr defaultRowHeight="13.2" x14ac:dyDescent="0.25"/>
  <cols>
    <col min="2" max="2" width="38.5546875" style="313" customWidth="1"/>
    <col min="3" max="4" width="14.5546875" style="313" customWidth="1"/>
    <col min="5" max="7" width="13.5546875" style="313" customWidth="1"/>
  </cols>
  <sheetData>
    <row r="4" spans="2:8" s="102" customFormat="1" ht="19.5" customHeight="1" x14ac:dyDescent="0.25">
      <c r="B4" s="319"/>
      <c r="C4" s="592" t="s">
        <v>45</v>
      </c>
      <c r="D4" s="593"/>
      <c r="E4" s="592" t="s">
        <v>48</v>
      </c>
      <c r="F4" s="593"/>
      <c r="G4" s="590" t="s">
        <v>50</v>
      </c>
      <c r="H4" s="591"/>
    </row>
    <row r="5" spans="2:8" x14ac:dyDescent="0.25">
      <c r="B5" s="315" t="str">
        <f>+'Dec 21-Mar 22 '!B185</f>
        <v xml:space="preserve">Salaries &amp; benefit </v>
      </c>
      <c r="C5" s="315">
        <f>+'Dec 21-Mar 22 '!C185</f>
        <v>55525.980587039994</v>
      </c>
      <c r="D5" s="356">
        <f>+C5/C$13</f>
        <v>0.60199884018321015</v>
      </c>
      <c r="E5" s="315">
        <f>+'2022-2023 '!C131</f>
        <v>177991.20763681948</v>
      </c>
      <c r="F5" s="356">
        <f>+E5/E$13</f>
        <v>0.74358482077309829</v>
      </c>
      <c r="G5" s="315">
        <f>+'Budget template'!C96</f>
        <v>0.2</v>
      </c>
      <c r="H5" s="356">
        <f>+G5/G$13</f>
        <v>1</v>
      </c>
    </row>
    <row r="6" spans="2:8" x14ac:dyDescent="0.25">
      <c r="B6" s="315" t="str">
        <f>+'Dec 21-Mar 22 '!B186</f>
        <v>Travel</v>
      </c>
      <c r="C6" s="315">
        <f>+'Dec 21-Mar 22 '!C186</f>
        <v>240</v>
      </c>
      <c r="D6" s="357">
        <f t="shared" ref="D6:D20" si="0">+C6/C$13</f>
        <v>2.6020201735562441E-3</v>
      </c>
      <c r="E6" s="315">
        <f>+'2022-2023 '!C132</f>
        <v>1080</v>
      </c>
      <c r="F6" s="357">
        <f t="shared" ref="F6" si="1">+E6/E$13</f>
        <v>4.5118611031257578E-3</v>
      </c>
      <c r="G6" s="315">
        <f>+'Budget template'!C97</f>
        <v>0</v>
      </c>
      <c r="H6" s="357">
        <f t="shared" ref="H6" si="2">+G6/G$13</f>
        <v>0</v>
      </c>
    </row>
    <row r="7" spans="2:8" x14ac:dyDescent="0.25">
      <c r="B7" s="315" t="str">
        <f>+'Dec 21-Mar 22 '!B187</f>
        <v>Delivery assistance tools and materials</v>
      </c>
      <c r="C7" s="315">
        <f>+'Dec 21-Mar 22 '!C187</f>
        <v>480</v>
      </c>
      <c r="D7" s="357">
        <f t="shared" si="0"/>
        <v>5.2040403471124881E-3</v>
      </c>
      <c r="E7" s="315">
        <f>+'2022-2023 '!C133</f>
        <v>2390</v>
      </c>
      <c r="F7" s="357">
        <f t="shared" ref="F7" si="3">+E7/E$13</f>
        <v>9.9845815152505204E-3</v>
      </c>
      <c r="G7" s="315">
        <f>+'Budget template'!C98</f>
        <v>0</v>
      </c>
      <c r="H7" s="357">
        <f t="shared" ref="H7" si="4">+G7/G$13</f>
        <v>0</v>
      </c>
    </row>
    <row r="8" spans="2:8" x14ac:dyDescent="0.25">
      <c r="B8" s="315" t="str">
        <f>+'Dec 21-Mar 22 '!B188</f>
        <v>Conference &amp; Workshops</v>
      </c>
      <c r="C8" s="315">
        <f>+'Dec 21-Mar 22 '!C188</f>
        <v>420</v>
      </c>
      <c r="D8" s="357">
        <f t="shared" si="0"/>
        <v>4.5535353037234267E-3</v>
      </c>
      <c r="E8" s="315">
        <f>+'2022-2023 '!C134</f>
        <v>4000</v>
      </c>
      <c r="F8" s="357">
        <f t="shared" ref="F8" si="5">+E8/E$13</f>
        <v>1.6710596678243549E-2</v>
      </c>
      <c r="G8" s="315">
        <f>+'Budget template'!C99</f>
        <v>0</v>
      </c>
      <c r="H8" s="357">
        <f t="shared" ref="H8" si="6">+G8/G$13</f>
        <v>0</v>
      </c>
    </row>
    <row r="9" spans="2:8" x14ac:dyDescent="0.25">
      <c r="B9" s="315" t="str">
        <f>+'Dec 21-Mar 22 '!B189</f>
        <v>Professional and Consultant Fee</v>
      </c>
      <c r="C9" s="315">
        <f>+'Dec 21-Mar 22 '!C189</f>
        <v>31136</v>
      </c>
      <c r="D9" s="357">
        <f t="shared" si="0"/>
        <v>0.33756875051603008</v>
      </c>
      <c r="E9" s="315">
        <f>+'2022-2023 '!C135</f>
        <v>44764</v>
      </c>
      <c r="F9" s="357">
        <f t="shared" ref="F9" si="7">+E9/E$13</f>
        <v>0.18700828742622355</v>
      </c>
      <c r="G9" s="315">
        <f>+'Budget template'!C100</f>
        <v>0</v>
      </c>
      <c r="H9" s="357">
        <f t="shared" ref="H9" si="8">+G9/G$13</f>
        <v>0</v>
      </c>
    </row>
    <row r="10" spans="2:8" x14ac:dyDescent="0.25">
      <c r="B10" s="315" t="str">
        <f>+'Dec 21-Mar 22 '!B190</f>
        <v>Training and Professional Development</v>
      </c>
      <c r="C10" s="315">
        <f>+'Dec 21-Mar 22 '!C190</f>
        <v>200</v>
      </c>
      <c r="D10" s="357">
        <f t="shared" si="0"/>
        <v>2.1683501446302035E-3</v>
      </c>
      <c r="E10" s="315">
        <f>+'2022-2023 '!C136</f>
        <v>400</v>
      </c>
      <c r="F10" s="357">
        <f t="shared" ref="F10" si="9">+E10/E$13</f>
        <v>1.6710596678243548E-3</v>
      </c>
      <c r="G10" s="315">
        <f>+'Budget template'!C101</f>
        <v>0</v>
      </c>
      <c r="H10" s="357">
        <f t="shared" ref="H10" si="10">+G10/G$13</f>
        <v>0</v>
      </c>
    </row>
    <row r="11" spans="2:8" x14ac:dyDescent="0.25">
      <c r="B11" s="315" t="str">
        <f>+'Dec 21-Mar 22 '!B191</f>
        <v>Overhead Cost</v>
      </c>
      <c r="C11" s="315">
        <f>+'Dec 21-Mar 22 '!C191</f>
        <v>3309.3666666666663</v>
      </c>
      <c r="D11" s="357">
        <f t="shared" si="0"/>
        <v>3.5879328451505196E-2</v>
      </c>
      <c r="E11" s="315">
        <f>+'2022-2023 '!C137</f>
        <v>7988.25</v>
      </c>
      <c r="F11" s="357">
        <f t="shared" ref="F11" si="11">+E11/E$13</f>
        <v>3.3372105978744758E-2</v>
      </c>
      <c r="G11" s="315">
        <f>+'Budget template'!C102</f>
        <v>0</v>
      </c>
      <c r="H11" s="357">
        <f t="shared" ref="H11" si="12">+G11/G$13</f>
        <v>0</v>
      </c>
    </row>
    <row r="12" spans="2:8" x14ac:dyDescent="0.25">
      <c r="B12" s="315" t="str">
        <f>+'Dec 21-Mar 22 '!B192</f>
        <v>GST/HST</v>
      </c>
      <c r="C12" s="315">
        <f>+'Dec 21-Mar 22 '!C192</f>
        <v>924.67859999999996</v>
      </c>
      <c r="D12" s="357">
        <f t="shared" si="0"/>
        <v>1.0025134880232269E-2</v>
      </c>
      <c r="E12" s="315">
        <f>+'2022-2023 '!C138</f>
        <v>755.61320000000001</v>
      </c>
      <c r="F12" s="357">
        <f t="shared" ref="F12" si="13">+E12/E$13</f>
        <v>3.1566868574892442E-3</v>
      </c>
      <c r="G12" s="315">
        <f>+'Budget template'!C103</f>
        <v>0</v>
      </c>
      <c r="H12" s="357">
        <f t="shared" ref="H12" si="14">+G12/G$13</f>
        <v>0</v>
      </c>
    </row>
    <row r="13" spans="2:8" x14ac:dyDescent="0.25">
      <c r="B13" s="318" t="str">
        <f>+'Dec 21-Mar 22 '!B193</f>
        <v>Total Program Delivery Cost</v>
      </c>
      <c r="C13" s="318">
        <f>+'Dec 21-Mar 22 '!C193</f>
        <v>92236.025853706655</v>
      </c>
      <c r="D13" s="354">
        <f t="shared" si="0"/>
        <v>1</v>
      </c>
      <c r="E13" s="318">
        <f>+'2022-2023 '!C139</f>
        <v>239369.07083681948</v>
      </c>
      <c r="F13" s="354">
        <f t="shared" ref="F13" si="15">+E13/E$13</f>
        <v>1</v>
      </c>
      <c r="G13" s="318">
        <f>+'Budget template'!C104</f>
        <v>0.2</v>
      </c>
      <c r="H13" s="354">
        <f t="shared" ref="H13" si="16">+G13/G$13</f>
        <v>1</v>
      </c>
    </row>
    <row r="14" spans="2:8" x14ac:dyDescent="0.25">
      <c r="B14" s="315">
        <f>+'Dec 21-Mar 22 '!B194</f>
        <v>0</v>
      </c>
      <c r="C14" s="315">
        <f>+'Dec 21-Mar 22 '!C194</f>
        <v>0</v>
      </c>
      <c r="D14" s="353"/>
      <c r="E14" s="315">
        <f>+'2022-2023 '!C140</f>
        <v>0</v>
      </c>
      <c r="F14" s="353"/>
      <c r="G14" s="315">
        <f>+'Budget template'!C105</f>
        <v>0</v>
      </c>
      <c r="H14" s="353"/>
    </row>
    <row r="15" spans="2:8" x14ac:dyDescent="0.25">
      <c r="B15" s="318" t="str">
        <f>+'Dec 21-Mar 22 '!B195</f>
        <v>Total Capital Cost</v>
      </c>
      <c r="C15" s="318">
        <f>+'Dec 21-Mar 22 '!C195</f>
        <v>2770.0010000000002</v>
      </c>
      <c r="D15" s="354">
        <f t="shared" si="0"/>
        <v>3.003166034487904E-2</v>
      </c>
      <c r="E15" s="318">
        <f>+'2022-2023 '!C141</f>
        <v>597.65499999999997</v>
      </c>
      <c r="F15" s="354">
        <f t="shared" ref="F15" si="17">+E15/E$13</f>
        <v>2.4967929144339117E-3</v>
      </c>
      <c r="G15" s="318">
        <f>+'Budget template'!C106</f>
        <v>0</v>
      </c>
      <c r="H15" s="354">
        <f t="shared" ref="H15" si="18">+G15/G$13</f>
        <v>0</v>
      </c>
    </row>
    <row r="16" spans="2:8" x14ac:dyDescent="0.25">
      <c r="B16" s="315">
        <f>+'Dec 21-Mar 22 '!B196</f>
        <v>0</v>
      </c>
      <c r="C16" s="315">
        <f>+'Dec 21-Mar 22 '!C196</f>
        <v>0</v>
      </c>
      <c r="D16" s="353"/>
      <c r="E16" s="315">
        <f>+'2022-2023 '!C142</f>
        <v>0</v>
      </c>
      <c r="F16" s="353"/>
      <c r="G16" s="315">
        <f>+'Budget template'!C107</f>
        <v>0</v>
      </c>
      <c r="H16" s="353"/>
    </row>
    <row r="17" spans="2:8" x14ac:dyDescent="0.25">
      <c r="B17" s="318" t="str">
        <f>+'Dec 21-Mar 22 '!B197</f>
        <v>Admin</v>
      </c>
      <c r="C17" s="318">
        <f>+'Dec 21-Mar 22 '!C197</f>
        <v>8391.5230625559998</v>
      </c>
      <c r="D17" s="354">
        <f t="shared" si="0"/>
        <v>9.0978801231804948E-2</v>
      </c>
      <c r="E17" s="318">
        <f>+'2022-2023 '!C143</f>
        <v>23185.373677328003</v>
      </c>
      <c r="F17" s="354">
        <f t="shared" ref="F17" si="19">+E17/E$13</f>
        <v>9.686035708904818E-2</v>
      </c>
      <c r="G17" s="318">
        <f>+'Budget template'!C108</f>
        <v>0</v>
      </c>
      <c r="H17" s="354">
        <f t="shared" ref="H17" si="20">+G17/G$13</f>
        <v>0</v>
      </c>
    </row>
    <row r="18" spans="2:8" x14ac:dyDescent="0.25">
      <c r="B18" s="316" t="s">
        <v>155</v>
      </c>
      <c r="C18" s="317">
        <f>+'Dec 21-Mar 22 '!C198</f>
        <v>9.0978801231804948E-2</v>
      </c>
      <c r="D18" s="355"/>
      <c r="E18" s="317">
        <f>+'2022-2023 '!C144</f>
        <v>9.686035708904818E-2</v>
      </c>
      <c r="F18" s="355"/>
      <c r="G18" s="317">
        <f>+'Budget template'!C109</f>
        <v>0</v>
      </c>
      <c r="H18" s="355"/>
    </row>
    <row r="19" spans="2:8" x14ac:dyDescent="0.25">
      <c r="B19" s="315">
        <f>+'Dec 21-Mar 22 '!B199</f>
        <v>0</v>
      </c>
      <c r="C19" s="315">
        <f>+'Dec 21-Mar 22 '!C199</f>
        <v>0</v>
      </c>
      <c r="D19" s="353"/>
      <c r="E19" s="315">
        <f>+'2022-2023 '!C145</f>
        <v>0</v>
      </c>
      <c r="F19" s="353"/>
      <c r="G19" s="315">
        <f>+'Budget template'!C110</f>
        <v>0</v>
      </c>
      <c r="H19" s="353"/>
    </row>
    <row r="20" spans="2:8" x14ac:dyDescent="0.25">
      <c r="B20" s="318" t="str">
        <f>+'Dec 21-Mar 22 '!B200</f>
        <v>Total</v>
      </c>
      <c r="C20" s="318">
        <f>+'Dec 21-Mar 22 '!C200</f>
        <v>103397.54991626265</v>
      </c>
      <c r="D20" s="354">
        <f t="shared" si="0"/>
        <v>1.121010461576684</v>
      </c>
      <c r="E20" s="318">
        <f>+'2022-2023 '!C146</f>
        <v>263152.0995141475</v>
      </c>
      <c r="F20" s="354">
        <f t="shared" ref="F20" si="21">+E20/E$13</f>
        <v>1.0993571500034822</v>
      </c>
      <c r="G20" s="318">
        <f>+'Budget template'!C111</f>
        <v>0.2</v>
      </c>
      <c r="H20" s="354">
        <f t="shared" ref="H20" si="22">+G20/G$13</f>
        <v>1</v>
      </c>
    </row>
    <row r="21" spans="2:8" x14ac:dyDescent="0.25">
      <c r="B21" s="313">
        <f>+'Dec 21-Mar 22 '!B201</f>
        <v>0</v>
      </c>
      <c r="C21" s="313">
        <f>+C20-'Dec 21-Mar 22 '!I130</f>
        <v>0</v>
      </c>
      <c r="E21" s="313">
        <f>+E20-'2022-2023 '!C146</f>
        <v>0</v>
      </c>
      <c r="G21" s="313">
        <f>+G20-'Budget template'!I91</f>
        <v>0</v>
      </c>
    </row>
    <row r="22" spans="2:8" x14ac:dyDescent="0.25">
      <c r="B22" s="313" t="s">
        <v>181</v>
      </c>
      <c r="C22" s="313">
        <f>+'Dec 21-Mar 22 '!I132</f>
        <v>49723.450083737349</v>
      </c>
      <c r="E22" s="313">
        <f>+'2022-2023 '!I128</f>
        <v>-9.9514147499576211E-2</v>
      </c>
      <c r="G22" s="313">
        <f>+'Budget template'!I93</f>
        <v>0</v>
      </c>
    </row>
    <row r="25" spans="2:8" x14ac:dyDescent="0.25">
      <c r="B25" s="364" t="s">
        <v>173</v>
      </c>
      <c r="G25"/>
    </row>
    <row r="26" spans="2:8" x14ac:dyDescent="0.25">
      <c r="B26" s="365" t="s">
        <v>174</v>
      </c>
      <c r="C26" s="366">
        <f>+'Dec 21-Mar 22 '!H178</f>
        <v>4.2999999999999997E-2</v>
      </c>
      <c r="E26" s="366">
        <f>+'2022-2023 '!H132</f>
        <v>5.3100000000000001E-2</v>
      </c>
      <c r="G26" s="367">
        <f>+'Budget template'!C116</f>
        <v>5.5299911291314799E-2</v>
      </c>
    </row>
    <row r="27" spans="2:8" x14ac:dyDescent="0.25">
      <c r="B27" s="365" t="s">
        <v>175</v>
      </c>
      <c r="C27" s="366">
        <f>+'Dec 21-Mar 22 '!H179</f>
        <v>2.2100000000000002E-2</v>
      </c>
      <c r="E27" s="366">
        <f>+'2022-2023 '!H133</f>
        <v>2.1100000000000001E-2</v>
      </c>
      <c r="G27" s="367">
        <f>+'Budget template'!C117</f>
        <v>2.1230673860261905E-2</v>
      </c>
    </row>
    <row r="28" spans="2:8" x14ac:dyDescent="0.25">
      <c r="B28" s="365" t="s">
        <v>176</v>
      </c>
      <c r="C28" s="366">
        <f>+'Dec 21-Mar 22 '!H180</f>
        <v>0.01</v>
      </c>
      <c r="E28" s="366">
        <f>+'2022-2023 '!H134</f>
        <v>1.7100000000000001E-2</v>
      </c>
      <c r="G28" s="367">
        <f>+'Budget template'!C118</f>
        <v>1.7139355360550002E-2</v>
      </c>
    </row>
    <row r="29" spans="2:8" x14ac:dyDescent="0.25">
      <c r="B29" s="365" t="s">
        <v>177</v>
      </c>
      <c r="C29" s="366">
        <f>+'Dec 21-Mar 22 '!H181</f>
        <v>0</v>
      </c>
      <c r="E29" s="366">
        <f>+'2022-2023 '!H135</f>
        <v>0</v>
      </c>
      <c r="G29" s="367">
        <f>+'Budget template'!C119</f>
        <v>0</v>
      </c>
    </row>
    <row r="30" spans="2:8" x14ac:dyDescent="0.25">
      <c r="B30" s="364" t="s">
        <v>178</v>
      </c>
      <c r="C30" s="366">
        <f>+'Dec 21-Mar 22 '!H182</f>
        <v>7.5099999999999986E-2</v>
      </c>
      <c r="E30" s="366">
        <f>+'2022-2023 '!H136</f>
        <v>9.1300000000000006E-2</v>
      </c>
      <c r="G30" s="367">
        <f>+'Budget template'!C120</f>
        <v>9.3669940512126709E-2</v>
      </c>
    </row>
    <row r="31" spans="2:8" x14ac:dyDescent="0.25">
      <c r="B31" s="365" t="s">
        <v>182</v>
      </c>
      <c r="C31" s="368">
        <f>+C32-C30</f>
        <v>6.2500000000000014E-2</v>
      </c>
      <c r="D31" s="369"/>
      <c r="E31" s="368">
        <f>+E32-E30</f>
        <v>0.11219999999999998</v>
      </c>
      <c r="F31" s="369"/>
      <c r="G31" s="368">
        <f>+G32-G30</f>
        <v>-9.3669940512126709E-2</v>
      </c>
    </row>
    <row r="32" spans="2:8" x14ac:dyDescent="0.25">
      <c r="B32" s="370"/>
      <c r="C32" s="371">
        <f>+'Dec 21-Mar 22 '!C57</f>
        <v>0.1376</v>
      </c>
      <c r="D32" s="370"/>
      <c r="E32" s="371">
        <f>+'2022-2023 '!C57</f>
        <v>0.20349999999999999</v>
      </c>
      <c r="F32" s="370"/>
      <c r="G32" s="372">
        <f>+'Budget template'!C21</f>
        <v>0</v>
      </c>
    </row>
    <row r="33" spans="2:8" x14ac:dyDescent="0.25">
      <c r="G33"/>
    </row>
    <row r="34" spans="2:8" x14ac:dyDescent="0.25">
      <c r="B34" s="364" t="s">
        <v>183</v>
      </c>
      <c r="G34"/>
    </row>
    <row r="35" spans="2:8" x14ac:dyDescent="0.25">
      <c r="B35" s="365" t="s">
        <v>174</v>
      </c>
      <c r="C35" s="366">
        <f>+'Dec 21-Mar 22 '!I178</f>
        <v>4.0031917567422241E-2</v>
      </c>
      <c r="E35" s="366">
        <f>+'2022-2023 '!I132</f>
        <v>4.2500000000000003E-2</v>
      </c>
      <c r="F35" s="366">
        <f>+E35-C35</f>
        <v>2.4680824325777617E-3</v>
      </c>
      <c r="G35" s="367">
        <f>+'Budget template'!D116</f>
        <v>4.2531917567422244E-2</v>
      </c>
      <c r="H35" s="366">
        <f>+G35-E35</f>
        <v>3.19175674222405E-5</v>
      </c>
    </row>
    <row r="36" spans="2:8" x14ac:dyDescent="0.25">
      <c r="B36" s="365" t="s">
        <v>175</v>
      </c>
      <c r="C36" s="366">
        <f>+'Dec 21-Mar 22 '!I179</f>
        <v>1.6037994943205441E-2</v>
      </c>
      <c r="E36" s="366">
        <f>+'2022-2023 '!I133</f>
        <v>1.6E-2</v>
      </c>
      <c r="F36" s="366">
        <f t="shared" ref="F36:H41" si="23">+E36-C36</f>
        <v>-3.7994943205440362E-5</v>
      </c>
      <c r="G36" s="367">
        <f>+'Budget template'!D117</f>
        <v>1.6E-2</v>
      </c>
      <c r="H36" s="366">
        <f t="shared" si="23"/>
        <v>0</v>
      </c>
    </row>
    <row r="37" spans="2:8" x14ac:dyDescent="0.25">
      <c r="B37" s="365" t="s">
        <v>176</v>
      </c>
      <c r="C37" s="366">
        <f>+'Dec 21-Mar 22 '!I180</f>
        <v>1.3088649033094736E-2</v>
      </c>
      <c r="E37" s="366">
        <f>+'2022-2023 '!I134</f>
        <v>1.5100000000000001E-2</v>
      </c>
      <c r="F37" s="366">
        <f t="shared" si="23"/>
        <v>2.0113509669052645E-3</v>
      </c>
      <c r="G37" s="367">
        <f>+'Budget template'!D118</f>
        <v>1.5100000000000001E-2</v>
      </c>
      <c r="H37" s="366">
        <f t="shared" si="23"/>
        <v>0</v>
      </c>
    </row>
    <row r="38" spans="2:8" x14ac:dyDescent="0.25">
      <c r="B38" s="365" t="s">
        <v>177</v>
      </c>
      <c r="C38" s="366">
        <f>+'Dec 21-Mar 22 '!I181</f>
        <v>0</v>
      </c>
      <c r="E38" s="366">
        <f>+'2022-2023 '!I135</f>
        <v>0</v>
      </c>
      <c r="F38" s="366">
        <f t="shared" si="23"/>
        <v>0</v>
      </c>
      <c r="G38" s="367">
        <f>+'Budget template'!D119</f>
        <v>0</v>
      </c>
      <c r="H38" s="366">
        <f t="shared" si="23"/>
        <v>0</v>
      </c>
    </row>
    <row r="39" spans="2:8" x14ac:dyDescent="0.25">
      <c r="B39" s="364" t="s">
        <v>178</v>
      </c>
      <c r="C39" s="366">
        <f>+'Dec 21-Mar 22 '!I182</f>
        <v>6.9158561543722408E-2</v>
      </c>
      <c r="E39" s="366">
        <f>+'2022-2023 '!I136</f>
        <v>7.3599999999999999E-2</v>
      </c>
      <c r="F39" s="366">
        <f t="shared" si="23"/>
        <v>4.441438456277591E-3</v>
      </c>
      <c r="G39" s="367">
        <f>+'Budget template'!D120</f>
        <v>7.3631917567422239E-2</v>
      </c>
      <c r="H39" s="366">
        <f t="shared" si="23"/>
        <v>3.19175674222405E-5</v>
      </c>
    </row>
    <row r="40" spans="2:8" x14ac:dyDescent="0.25">
      <c r="B40" s="365" t="s">
        <v>182</v>
      </c>
      <c r="C40" s="368">
        <f>+C41-C39</f>
        <v>0.1099414384562776</v>
      </c>
      <c r="D40" s="369"/>
      <c r="E40" s="368">
        <f>+E41-E39</f>
        <v>0.11000000000000001</v>
      </c>
      <c r="F40" s="368">
        <f>+F41-F39</f>
        <v>5.8561543722412956E-5</v>
      </c>
      <c r="G40" s="368" t="e">
        <f>+G41-G39</f>
        <v>#REF!</v>
      </c>
      <c r="H40" s="368" t="e">
        <f>+H41-H39</f>
        <v>#REF!</v>
      </c>
    </row>
    <row r="41" spans="2:8" x14ac:dyDescent="0.25">
      <c r="B41" s="370"/>
      <c r="C41" s="371">
        <f>+'Dec 21-Mar 22 '!C17</f>
        <v>0.17910000000000001</v>
      </c>
      <c r="D41" s="370"/>
      <c r="E41" s="371">
        <f>+'2022-2023 '!C17</f>
        <v>0.18360000000000001</v>
      </c>
      <c r="F41" s="371">
        <f t="shared" si="23"/>
        <v>4.500000000000004E-3</v>
      </c>
      <c r="G41" s="372" t="e">
        <f>+'Budget template'!#REF!</f>
        <v>#REF!</v>
      </c>
      <c r="H41" s="371" t="e">
        <f>+G41-E41</f>
        <v>#REF!</v>
      </c>
    </row>
  </sheetData>
  <mergeCells count="3">
    <mergeCell ref="G4:H4"/>
    <mergeCell ref="E4:F4"/>
    <mergeCell ref="C4:D4"/>
  </mergeCells>
  <phoneticPr fontId="27"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6"/>
  <sheetViews>
    <sheetView topLeftCell="A29" workbookViewId="0">
      <selection activeCell="L17" sqref="L17"/>
    </sheetView>
  </sheetViews>
  <sheetFormatPr defaultRowHeight="13.2" x14ac:dyDescent="0.25"/>
  <cols>
    <col min="1" max="1" width="15.5546875" customWidth="1"/>
    <col min="4" max="4" width="32.44140625" customWidth="1"/>
  </cols>
  <sheetData>
    <row r="1" spans="1:6" x14ac:dyDescent="0.25">
      <c r="A1" s="138" t="s">
        <v>45</v>
      </c>
      <c r="B1" s="139"/>
      <c r="D1" s="150" t="s">
        <v>51</v>
      </c>
    </row>
    <row r="2" spans="1:6" x14ac:dyDescent="0.25">
      <c r="A2" s="139"/>
      <c r="B2" s="138" t="s">
        <v>46</v>
      </c>
      <c r="D2" s="150" t="s">
        <v>52</v>
      </c>
      <c r="E2">
        <f>2*6</f>
        <v>12</v>
      </c>
    </row>
    <row r="3" spans="1:6" x14ac:dyDescent="0.25">
      <c r="A3" s="140">
        <v>44440</v>
      </c>
      <c r="B3" s="139"/>
      <c r="D3" s="151" t="s">
        <v>53</v>
      </c>
      <c r="E3" s="152">
        <f>3*6</f>
        <v>18</v>
      </c>
    </row>
    <row r="4" spans="1:6" x14ac:dyDescent="0.25">
      <c r="A4" s="140">
        <v>44470</v>
      </c>
      <c r="B4" s="139"/>
      <c r="D4" s="150" t="s">
        <v>54</v>
      </c>
      <c r="E4">
        <f>E2+E3</f>
        <v>30</v>
      </c>
    </row>
    <row r="5" spans="1:6" x14ac:dyDescent="0.25">
      <c r="A5" s="140">
        <v>44501</v>
      </c>
      <c r="B5" s="139">
        <v>22</v>
      </c>
    </row>
    <row r="6" spans="1:6" x14ac:dyDescent="0.25">
      <c r="A6" s="140">
        <v>44531</v>
      </c>
      <c r="B6" s="139">
        <v>23</v>
      </c>
    </row>
    <row r="7" spans="1:6" x14ac:dyDescent="0.25">
      <c r="A7" s="140">
        <v>44562</v>
      </c>
      <c r="B7" s="139">
        <v>21</v>
      </c>
      <c r="C7">
        <v>16</v>
      </c>
      <c r="D7" s="150"/>
    </row>
    <row r="8" spans="1:6" x14ac:dyDescent="0.25">
      <c r="A8" s="140">
        <v>44593</v>
      </c>
      <c r="B8" s="139">
        <v>20</v>
      </c>
      <c r="C8">
        <v>20</v>
      </c>
      <c r="E8" s="150"/>
      <c r="F8" s="150"/>
    </row>
    <row r="9" spans="1:6" x14ac:dyDescent="0.25">
      <c r="A9" s="140">
        <v>44621</v>
      </c>
      <c r="B9" s="139">
        <v>23</v>
      </c>
      <c r="C9">
        <v>23</v>
      </c>
      <c r="D9" s="153"/>
    </row>
    <row r="10" spans="1:6" x14ac:dyDescent="0.25">
      <c r="A10" s="141" t="s">
        <v>3</v>
      </c>
      <c r="B10" s="138">
        <f>SUM(B3:B9)</f>
        <v>109</v>
      </c>
      <c r="C10" s="138">
        <f>SUM(C3:C9)</f>
        <v>59</v>
      </c>
      <c r="D10" s="155"/>
      <c r="E10" s="152"/>
      <c r="F10" s="151"/>
    </row>
    <row r="11" spans="1:6" x14ac:dyDescent="0.25">
      <c r="A11" s="142" t="s">
        <v>47</v>
      </c>
      <c r="B11" s="139">
        <f>B10/5</f>
        <v>21.8</v>
      </c>
      <c r="C11">
        <f>C10/5</f>
        <v>11.8</v>
      </c>
      <c r="D11" s="153"/>
    </row>
    <row r="12" spans="1:6" x14ac:dyDescent="0.25">
      <c r="D12" s="154"/>
    </row>
    <row r="13" spans="1:6" x14ac:dyDescent="0.25">
      <c r="A13" s="138" t="s">
        <v>48</v>
      </c>
      <c r="B13" s="138"/>
      <c r="D13" s="153"/>
    </row>
    <row r="14" spans="1:6" x14ac:dyDescent="0.25">
      <c r="A14" s="138"/>
      <c r="B14" s="138" t="s">
        <v>46</v>
      </c>
      <c r="D14" s="154"/>
    </row>
    <row r="15" spans="1:6" x14ac:dyDescent="0.25">
      <c r="A15" s="140">
        <v>44652</v>
      </c>
      <c r="B15" s="139">
        <v>21</v>
      </c>
      <c r="D15" s="154"/>
    </row>
    <row r="16" spans="1:6" x14ac:dyDescent="0.25">
      <c r="A16" s="140">
        <v>44682</v>
      </c>
      <c r="B16" s="139">
        <v>22</v>
      </c>
      <c r="D16" s="154"/>
    </row>
    <row r="17" spans="1:4" x14ac:dyDescent="0.25">
      <c r="A17" s="140">
        <v>44713</v>
      </c>
      <c r="B17" s="139">
        <v>22</v>
      </c>
      <c r="D17" s="154"/>
    </row>
    <row r="18" spans="1:4" x14ac:dyDescent="0.25">
      <c r="A18" s="140">
        <v>44743</v>
      </c>
      <c r="B18" s="139">
        <v>21</v>
      </c>
    </row>
    <row r="19" spans="1:4" x14ac:dyDescent="0.25">
      <c r="A19" s="140">
        <v>44774</v>
      </c>
      <c r="B19" s="139">
        <v>23</v>
      </c>
    </row>
    <row r="20" spans="1:4" x14ac:dyDescent="0.25">
      <c r="A20" s="140">
        <v>44805</v>
      </c>
      <c r="B20" s="139">
        <v>22</v>
      </c>
    </row>
    <row r="21" spans="1:4" x14ac:dyDescent="0.25">
      <c r="A21" s="140">
        <v>44835</v>
      </c>
      <c r="B21" s="139">
        <v>21</v>
      </c>
    </row>
    <row r="22" spans="1:4" x14ac:dyDescent="0.25">
      <c r="A22" s="140">
        <v>44866</v>
      </c>
      <c r="B22" s="139">
        <v>22</v>
      </c>
    </row>
    <row r="23" spans="1:4" x14ac:dyDescent="0.25">
      <c r="A23" s="140">
        <v>44896</v>
      </c>
      <c r="B23" s="139">
        <v>22</v>
      </c>
    </row>
    <row r="24" spans="1:4" x14ac:dyDescent="0.25">
      <c r="A24" s="140">
        <v>44927</v>
      </c>
      <c r="B24" s="139">
        <v>22</v>
      </c>
    </row>
    <row r="25" spans="1:4" x14ac:dyDescent="0.25">
      <c r="A25" s="140">
        <v>44958</v>
      </c>
      <c r="B25" s="139">
        <v>20</v>
      </c>
    </row>
    <row r="26" spans="1:4" x14ac:dyDescent="0.25">
      <c r="A26" s="143">
        <v>44986</v>
      </c>
      <c r="B26" s="139">
        <v>23</v>
      </c>
    </row>
    <row r="27" spans="1:4" x14ac:dyDescent="0.25">
      <c r="A27" s="141" t="s">
        <v>3</v>
      </c>
      <c r="B27" s="138">
        <f>SUM(B15:B26)</f>
        <v>261</v>
      </c>
    </row>
    <row r="28" spans="1:4" x14ac:dyDescent="0.25">
      <c r="A28" s="142" t="s">
        <v>49</v>
      </c>
      <c r="B28" s="139">
        <f>B27/5</f>
        <v>52.2</v>
      </c>
    </row>
    <row r="31" spans="1:4" x14ac:dyDescent="0.25">
      <c r="A31" s="138" t="s">
        <v>50</v>
      </c>
      <c r="B31" s="138"/>
    </row>
    <row r="32" spans="1:4" x14ac:dyDescent="0.25">
      <c r="A32" s="138"/>
      <c r="B32" s="138" t="s">
        <v>46</v>
      </c>
    </row>
    <row r="33" spans="1:2" x14ac:dyDescent="0.25">
      <c r="A33" s="140">
        <v>45017</v>
      </c>
      <c r="B33" s="139">
        <v>20</v>
      </c>
    </row>
    <row r="34" spans="1:2" x14ac:dyDescent="0.25">
      <c r="A34" s="140">
        <v>45047</v>
      </c>
      <c r="B34" s="139">
        <v>23</v>
      </c>
    </row>
    <row r="35" spans="1:2" x14ac:dyDescent="0.25">
      <c r="A35" s="140">
        <v>45078</v>
      </c>
      <c r="B35" s="139">
        <v>22</v>
      </c>
    </row>
    <row r="36" spans="1:2" x14ac:dyDescent="0.25">
      <c r="A36" s="140">
        <v>45108</v>
      </c>
      <c r="B36" s="139">
        <v>21</v>
      </c>
    </row>
    <row r="37" spans="1:2" x14ac:dyDescent="0.25">
      <c r="A37" s="140">
        <v>45139</v>
      </c>
      <c r="B37" s="139">
        <v>23</v>
      </c>
    </row>
    <row r="38" spans="1:2" x14ac:dyDescent="0.25">
      <c r="A38" s="140">
        <v>45170</v>
      </c>
      <c r="B38" s="139">
        <v>21</v>
      </c>
    </row>
    <row r="39" spans="1:2" x14ac:dyDescent="0.25">
      <c r="A39" s="140">
        <v>45200</v>
      </c>
      <c r="B39" s="139">
        <v>22</v>
      </c>
    </row>
    <row r="40" spans="1:2" x14ac:dyDescent="0.25">
      <c r="A40" s="140">
        <v>45231</v>
      </c>
      <c r="B40" s="139">
        <v>22</v>
      </c>
    </row>
    <row r="41" spans="1:2" x14ac:dyDescent="0.25">
      <c r="A41" s="140">
        <v>45261</v>
      </c>
      <c r="B41" s="139">
        <v>21</v>
      </c>
    </row>
    <row r="42" spans="1:2" x14ac:dyDescent="0.25">
      <c r="A42" s="140">
        <v>45292</v>
      </c>
      <c r="B42" s="139">
        <v>23</v>
      </c>
    </row>
    <row r="43" spans="1:2" x14ac:dyDescent="0.25">
      <c r="A43" s="140">
        <v>45323</v>
      </c>
      <c r="B43" s="139">
        <v>21</v>
      </c>
    </row>
    <row r="44" spans="1:2" x14ac:dyDescent="0.25">
      <c r="A44" s="140">
        <v>45352</v>
      </c>
      <c r="B44" s="139">
        <v>21</v>
      </c>
    </row>
    <row r="45" spans="1:2" x14ac:dyDescent="0.25">
      <c r="A45" s="141" t="s">
        <v>3</v>
      </c>
      <c r="B45" s="138">
        <f>SUM(B33:B44)</f>
        <v>260</v>
      </c>
    </row>
    <row r="46" spans="1:2" x14ac:dyDescent="0.25">
      <c r="A46" s="142" t="s">
        <v>49</v>
      </c>
      <c r="B46" s="139">
        <f>B45/5</f>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636889D23AF84393F342FCCFA3A9A2" ma:contentTypeVersion="4" ma:contentTypeDescription="Create a new document." ma:contentTypeScope="" ma:versionID="b349d8387d11d4ac7ce697893e775d77">
  <xsd:schema xmlns:xsd="http://www.w3.org/2001/XMLSchema" xmlns:xs="http://www.w3.org/2001/XMLSchema" xmlns:p="http://schemas.microsoft.com/office/2006/metadata/properties" xmlns:ns2="06ac9d43-fa54-41ce-be2e-2c3d920955a1" targetNamespace="http://schemas.microsoft.com/office/2006/metadata/properties" ma:root="true" ma:fieldsID="ab03a3cc562ce0d9ca15b14d56480ab8" ns2:_="">
    <xsd:import namespace="06ac9d43-fa54-41ce-be2e-2c3d920955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c9d43-fa54-41ce-be2e-2c3d9209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D7156-C0AF-4989-9DBA-A0939C4785D8}">
  <ds:schemaRefs>
    <ds:schemaRef ds:uri="http://schemas.microsoft.com/office/2006/metadata/properties"/>
    <ds:schemaRef ds:uri="http://www.w3.org/XML/1998/namespace"/>
    <ds:schemaRef ds:uri="http://purl.org/dc/dcmitype/"/>
    <ds:schemaRef ds:uri="http://schemas.microsoft.com/office/infopath/2007/PartnerControls"/>
    <ds:schemaRef ds:uri="06ac9d43-fa54-41ce-be2e-2c3d920955a1"/>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AE456DA-7ACF-4DCF-8246-BCBB36FDD612}">
  <ds:schemaRefs>
    <ds:schemaRef ds:uri="http://schemas.microsoft.com/sharepoint/v3/contenttype/forms"/>
  </ds:schemaRefs>
</ds:datastoreItem>
</file>

<file path=customXml/itemProps3.xml><?xml version="1.0" encoding="utf-8"?>
<ds:datastoreItem xmlns:ds="http://schemas.openxmlformats.org/officeDocument/2006/customXml" ds:itemID="{22BF0D75-1FF7-4540-BBB6-B4EEA2723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c9d43-fa54-41ce-be2e-2c3d92095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Dec 21-Mar 22 </vt:lpstr>
      <vt:lpstr>UTSC Sub-agreement 2021-22</vt:lpstr>
      <vt:lpstr>2022-2023 </vt:lpstr>
      <vt:lpstr>UTSC Sub-agreement 2022-23</vt:lpstr>
      <vt:lpstr>Budget template</vt:lpstr>
      <vt:lpstr>Sheet1</vt:lpstr>
      <vt:lpstr>weeks</vt:lpstr>
    </vt:vector>
  </TitlesOfParts>
  <Company>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IMTB</dc:creator>
  <cp:lastModifiedBy>Vishaal Beharry</cp:lastModifiedBy>
  <cp:lastPrinted>2020-11-17T19:49:20Z</cp:lastPrinted>
  <dcterms:created xsi:type="dcterms:W3CDTF">2007-05-01T20:56:47Z</dcterms:created>
  <dcterms:modified xsi:type="dcterms:W3CDTF">2024-01-31T22:01:58Z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0x01010023636889D23AF84393F342FCCFA3A9A2</vt:lpwstr>
  </property>
</Properties>
</file>